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7"/>
  <workbookPr filterPrivacy="1" defaultThemeVersion="124226"/>
  <xr:revisionPtr revIDLastSave="0" documentId="11_D13DDC6D8B0610F8BAB72DB13AE58C52A2FF0B1A" xr6:coauthVersionLast="47" xr6:coauthVersionMax="47" xr10:uidLastSave="{00000000-0000-0000-0000-000000000000}"/>
  <bookViews>
    <workbookView xWindow="-19310" yWindow="-1310" windowWidth="19420" windowHeight="10300" tabRatio="846" firstSheet="3" activeTab="3" xr2:uid="{00000000-000D-0000-FFFF-FFFF00000000}"/>
  </bookViews>
  <sheets>
    <sheet name="CAPA" sheetId="15" r:id="rId1"/>
    <sheet name="BDI" sheetId="17" r:id="rId2"/>
    <sheet name="CR-FF-GERAL" sheetId="14" r:id="rId3"/>
    <sheet name="ORÇAMENTO" sheetId="1" r:id="rId4"/>
  </sheets>
  <definedNames>
    <definedName name="\0">#REF!</definedName>
    <definedName name="_1Excel_BuiltIn_Print_Area_2_1">#REF!</definedName>
    <definedName name="_xlnm.Print_Area" localSheetId="0">CAPA!$A$1:$I$47</definedName>
    <definedName name="_xlnm.Print_Area" localSheetId="2">'CR-FF-GERAL'!$B$1:$U$55</definedName>
    <definedName name="_xlnm.Print_Area" localSheetId="3">ORÇAMENTO!$A$1:$I$152</definedName>
    <definedName name="AreaTeste">#REF!</definedName>
    <definedName name="AreaTeste2">#REF!</definedName>
    <definedName name="CélulaInicioPlanilha">#REF!</definedName>
    <definedName name="CélulaResumo">#REF!</definedName>
    <definedName name="COTAÇÕES">#REF!</definedName>
    <definedName name="_xlnm.Criteria">#REF!</definedName>
    <definedName name="Excel_BuiltIn_Database">#REF!</definedName>
    <definedName name="Excel_BuiltIn_Print_Area_2_1_1">#REF!</definedName>
    <definedName name="Excel_BuiltIn_Print_Titles_2_1">#REF!</definedName>
    <definedName name="Excel_BuiltIn_Print_Titles_2_1_1">#REF!</definedName>
    <definedName name="Excel_BuiltIn_Print_Titles_2_1_1_1">#REF!</definedName>
    <definedName name="TESTE">#REF!</definedName>
    <definedName name="_xlnm.Print_Titles" localSheetId="3">ORÇAMENTO!$1:$9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9" i="1" l="1"/>
  <c r="H109" i="1" s="1"/>
  <c r="G108" i="1"/>
  <c r="H108" i="1" s="1"/>
  <c r="H107" i="1"/>
  <c r="G107" i="1"/>
  <c r="G106" i="1"/>
  <c r="H106" i="1" s="1"/>
  <c r="G105" i="1"/>
  <c r="H105" i="1" s="1"/>
  <c r="G104" i="1"/>
  <c r="H104" i="1" s="1"/>
  <c r="H11" i="1"/>
  <c r="G103" i="1"/>
  <c r="H103" i="1" s="1"/>
  <c r="G58" i="1"/>
  <c r="H58" i="1" s="1"/>
  <c r="G129" i="1"/>
  <c r="H129" i="1" s="1"/>
  <c r="G128" i="1"/>
  <c r="H128" i="1" s="1"/>
  <c r="G66" i="1"/>
  <c r="H66" i="1" s="1"/>
  <c r="H37" i="1"/>
  <c r="H36" i="1"/>
  <c r="H35" i="1"/>
  <c r="G40" i="1"/>
  <c r="H40" i="1" s="1"/>
  <c r="G41" i="1"/>
  <c r="H41" i="1" s="1"/>
  <c r="G60" i="1"/>
  <c r="H60" i="1" s="1"/>
  <c r="G33" i="1"/>
  <c r="H33" i="1" s="1"/>
  <c r="G82" i="1"/>
  <c r="H82" i="1" s="1"/>
  <c r="G83" i="1"/>
  <c r="H83" i="1" s="1"/>
  <c r="G84" i="1"/>
  <c r="H84" i="1" s="1"/>
  <c r="G87" i="1"/>
  <c r="H87" i="1" s="1"/>
  <c r="G86" i="1"/>
  <c r="H86" i="1" s="1"/>
  <c r="G135" i="1"/>
  <c r="H135" i="1" s="1"/>
  <c r="H134" i="1" s="1"/>
  <c r="G122" i="1"/>
  <c r="H122" i="1" s="1"/>
  <c r="G121" i="1"/>
  <c r="H121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7" i="1"/>
  <c r="H67" i="1" s="1"/>
  <c r="G65" i="1"/>
  <c r="H65" i="1" s="1"/>
  <c r="G64" i="1"/>
  <c r="H64" i="1" s="1"/>
  <c r="G63" i="1"/>
  <c r="H63" i="1" s="1"/>
  <c r="G62" i="1"/>
  <c r="H62" i="1" s="1"/>
  <c r="G61" i="1"/>
  <c r="H61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H34" i="1" l="1"/>
  <c r="H112" i="1"/>
  <c r="H59" i="1"/>
  <c r="H49" i="1"/>
  <c r="H68" i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23" i="1"/>
  <c r="H2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32" i="1"/>
  <c r="H32" i="1" s="1"/>
  <c r="H31" i="1" s="1"/>
  <c r="G90" i="1"/>
  <c r="H90" i="1" s="1"/>
  <c r="G89" i="1"/>
  <c r="H89" i="1" s="1"/>
  <c r="G88" i="1"/>
  <c r="H88" i="1" s="1"/>
  <c r="G22" i="1"/>
  <c r="H22" i="1" s="1"/>
  <c r="G21" i="1"/>
  <c r="H21" i="1" s="1"/>
  <c r="G20" i="1"/>
  <c r="H20" i="1" s="1"/>
  <c r="G19" i="1"/>
  <c r="H19" i="1" s="1"/>
  <c r="H85" i="1" l="1"/>
  <c r="H39" i="1"/>
  <c r="H30" i="1" s="1"/>
  <c r="G133" i="1" l="1"/>
  <c r="H133" i="1" s="1"/>
  <c r="G132" i="1"/>
  <c r="H132" i="1" s="1"/>
  <c r="H131" i="1" l="1"/>
  <c r="G120" i="1"/>
  <c r="H120" i="1" s="1"/>
  <c r="H119" i="1" s="1"/>
  <c r="H111" i="1" s="1"/>
  <c r="G137" i="1" l="1"/>
  <c r="H137" i="1" s="1"/>
  <c r="H136" i="1" s="1"/>
  <c r="U48" i="14" l="1"/>
  <c r="U47" i="14"/>
  <c r="U45" i="14"/>
  <c r="U43" i="14"/>
  <c r="U41" i="14"/>
  <c r="U39" i="14"/>
  <c r="U37" i="14"/>
  <c r="U35" i="14"/>
  <c r="U52" i="14"/>
  <c r="D49" i="14"/>
  <c r="R49" i="14" s="1"/>
  <c r="D46" i="14"/>
  <c r="R46" i="14" s="1"/>
  <c r="U50" i="14"/>
  <c r="G46" i="14"/>
  <c r="F46" i="14"/>
  <c r="E46" i="14"/>
  <c r="G44" i="14"/>
  <c r="F44" i="14"/>
  <c r="E44" i="14"/>
  <c r="G42" i="14"/>
  <c r="F42" i="14"/>
  <c r="E42" i="14"/>
  <c r="G40" i="14"/>
  <c r="F40" i="14"/>
  <c r="E40" i="14"/>
  <c r="G38" i="14"/>
  <c r="F38" i="14"/>
  <c r="E38" i="14"/>
  <c r="G36" i="14"/>
  <c r="F36" i="14"/>
  <c r="E36" i="14"/>
  <c r="G34" i="14"/>
  <c r="F34" i="14"/>
  <c r="E34" i="14"/>
  <c r="G32" i="14"/>
  <c r="F32" i="14"/>
  <c r="E32" i="14"/>
  <c r="T13" i="14"/>
  <c r="S13" i="14"/>
  <c r="R13" i="14"/>
  <c r="Q13" i="14"/>
  <c r="P13" i="14"/>
  <c r="O13" i="14"/>
  <c r="U33" i="14"/>
  <c r="B55" i="14"/>
  <c r="B54" i="14"/>
  <c r="B53" i="14"/>
  <c r="C51" i="14"/>
  <c r="C49" i="14"/>
  <c r="C46" i="14"/>
  <c r="C44" i="14"/>
  <c r="C42" i="14"/>
  <c r="C40" i="14"/>
  <c r="C38" i="14"/>
  <c r="C36" i="14"/>
  <c r="C34" i="14"/>
  <c r="C32" i="14"/>
  <c r="C29" i="14"/>
  <c r="C27" i="14"/>
  <c r="C25" i="14"/>
  <c r="C23" i="14"/>
  <c r="C19" i="14"/>
  <c r="C21" i="14"/>
  <c r="D29" i="14" l="1"/>
  <c r="L29" i="14" s="1"/>
  <c r="S46" i="14"/>
  <c r="S49" i="14"/>
  <c r="P46" i="14"/>
  <c r="T49" i="14"/>
  <c r="Q46" i="14"/>
  <c r="G24" i="1"/>
  <c r="H24" i="1" s="1"/>
  <c r="G18" i="1"/>
  <c r="H18" i="1" s="1"/>
  <c r="G130" i="1"/>
  <c r="H130" i="1" s="1"/>
  <c r="H127" i="1" s="1"/>
  <c r="G126" i="1"/>
  <c r="H126" i="1" s="1"/>
  <c r="H125" i="1" s="1"/>
  <c r="H17" i="1" l="1"/>
  <c r="D42" i="14"/>
  <c r="H10" i="1"/>
  <c r="K29" i="14"/>
  <c r="J29" i="14"/>
  <c r="M29" i="14"/>
  <c r="D40" i="14"/>
  <c r="G94" i="1"/>
  <c r="H94" i="1" l="1"/>
  <c r="H93" i="1" s="1"/>
  <c r="D34" i="14"/>
  <c r="L34" i="14" s="1"/>
  <c r="D44" i="14"/>
  <c r="K44" i="14" s="1"/>
  <c r="P40" i="14"/>
  <c r="O40" i="14"/>
  <c r="Q40" i="14"/>
  <c r="R40" i="14"/>
  <c r="N42" i="14"/>
  <c r="O42" i="14"/>
  <c r="M42" i="14"/>
  <c r="P42" i="14"/>
  <c r="G124" i="1"/>
  <c r="G96" i="1"/>
  <c r="H96" i="1" s="1"/>
  <c r="H124" i="1" l="1"/>
  <c r="H123" i="1" s="1"/>
  <c r="H92" i="1"/>
  <c r="N34" i="14"/>
  <c r="O34" i="14"/>
  <c r="M34" i="14"/>
  <c r="M44" i="14"/>
  <c r="L44" i="14"/>
  <c r="J44" i="14"/>
  <c r="D38" i="14"/>
  <c r="H91" i="1" l="1"/>
  <c r="D36" i="14"/>
  <c r="N36" i="14" s="1"/>
  <c r="D32" i="14"/>
  <c r="K32" i="14" s="1"/>
  <c r="P38" i="14"/>
  <c r="R38" i="14"/>
  <c r="Q38" i="14"/>
  <c r="O38" i="14"/>
  <c r="D13" i="17"/>
  <c r="F13" i="17"/>
  <c r="D23" i="17"/>
  <c r="F18" i="17"/>
  <c r="F23" i="17" s="1"/>
  <c r="M36" i="14" l="1"/>
  <c r="O36" i="14"/>
  <c r="P36" i="14"/>
  <c r="L32" i="14"/>
  <c r="D11" i="14" l="1"/>
  <c r="D13" i="14" s="1"/>
  <c r="E13" i="14"/>
  <c r="F13" i="14"/>
  <c r="G13" i="14"/>
  <c r="H13" i="14"/>
  <c r="I13" i="14"/>
  <c r="J13" i="14"/>
  <c r="K13" i="14"/>
  <c r="L13" i="14"/>
  <c r="M13" i="14"/>
  <c r="N13" i="14"/>
  <c r="E15" i="14"/>
  <c r="F15" i="14" s="1"/>
  <c r="G15" i="14" s="1"/>
  <c r="H15" i="14" s="1"/>
  <c r="I15" i="14" s="1"/>
  <c r="J15" i="14" s="1"/>
  <c r="K15" i="14" s="1"/>
  <c r="L15" i="14" s="1"/>
  <c r="M15" i="14" s="1"/>
  <c r="N15" i="14" s="1"/>
  <c r="E17" i="14"/>
  <c r="F17" i="14"/>
  <c r="G17" i="14"/>
  <c r="H17" i="14"/>
  <c r="I17" i="14"/>
  <c r="J17" i="14"/>
  <c r="K17" i="14"/>
  <c r="L17" i="14"/>
  <c r="M17" i="14"/>
  <c r="N17" i="14"/>
  <c r="T17" i="14"/>
  <c r="U20" i="14"/>
  <c r="H21" i="14"/>
  <c r="I21" i="14"/>
  <c r="J21" i="14"/>
  <c r="K21" i="14"/>
  <c r="L21" i="14"/>
  <c r="M21" i="14"/>
  <c r="N21" i="14"/>
  <c r="T21" i="14"/>
  <c r="U22" i="14"/>
  <c r="H23" i="14"/>
  <c r="I23" i="14"/>
  <c r="J23" i="14"/>
  <c r="K23" i="14"/>
  <c r="L23" i="14"/>
  <c r="M23" i="14"/>
  <c r="N23" i="14"/>
  <c r="T23" i="14"/>
  <c r="U24" i="14"/>
  <c r="E25" i="14"/>
  <c r="F25" i="14"/>
  <c r="L25" i="14"/>
  <c r="M25" i="14"/>
  <c r="N25" i="14"/>
  <c r="T25" i="14"/>
  <c r="U26" i="14"/>
  <c r="E27" i="14"/>
  <c r="F27" i="14"/>
  <c r="G27" i="14"/>
  <c r="L27" i="14"/>
  <c r="M27" i="14"/>
  <c r="N27" i="14"/>
  <c r="T27" i="14"/>
  <c r="U28" i="14"/>
  <c r="E29" i="14"/>
  <c r="F29" i="14"/>
  <c r="G29" i="14"/>
  <c r="U30" i="14"/>
  <c r="U31" i="14"/>
  <c r="T15" i="14" l="1"/>
  <c r="O15" i="14"/>
  <c r="P15" i="14" s="1"/>
  <c r="Q15" i="14" s="1"/>
  <c r="R15" i="14" s="1"/>
  <c r="S15" i="14" s="1"/>
  <c r="G26" i="1"/>
  <c r="H26" i="1" s="1"/>
  <c r="G27" i="1"/>
  <c r="H27" i="1" s="1"/>
  <c r="G28" i="1"/>
  <c r="H28" i="1" s="1"/>
  <c r="G29" i="1"/>
  <c r="H29" i="1" s="1"/>
  <c r="D19" i="14" l="1"/>
  <c r="H25" i="1"/>
  <c r="D23" i="14"/>
  <c r="D21" i="14" l="1"/>
  <c r="F21" i="14" s="1"/>
  <c r="H19" i="14"/>
  <c r="Q19" i="14"/>
  <c r="P19" i="14"/>
  <c r="S19" i="14"/>
  <c r="O19" i="14"/>
  <c r="R19" i="14"/>
  <c r="T19" i="14"/>
  <c r="K19" i="14"/>
  <c r="G19" i="14"/>
  <c r="J19" i="14"/>
  <c r="M19" i="14"/>
  <c r="N19" i="14"/>
  <c r="I19" i="14"/>
  <c r="L19" i="14"/>
  <c r="F19" i="14"/>
  <c r="E19" i="14"/>
  <c r="E23" i="14"/>
  <c r="F23" i="14"/>
  <c r="G23" i="14"/>
  <c r="G148" i="1"/>
  <c r="H148" i="1" s="1"/>
  <c r="G147" i="1"/>
  <c r="H147" i="1" s="1"/>
  <c r="E21" i="14" l="1"/>
  <c r="G21" i="14"/>
  <c r="H146" i="1"/>
  <c r="H110" i="1" s="1"/>
  <c r="H149" i="1" s="1"/>
  <c r="I16" i="1" l="1"/>
  <c r="I109" i="1"/>
  <c r="I105" i="1"/>
  <c r="I108" i="1"/>
  <c r="I104" i="1"/>
  <c r="I107" i="1"/>
  <c r="I106" i="1"/>
  <c r="D51" i="14"/>
  <c r="D27" i="14"/>
  <c r="I92" i="1" l="1"/>
  <c r="I93" i="1"/>
  <c r="I95" i="1"/>
  <c r="I103" i="1"/>
  <c r="I78" i="1"/>
  <c r="I94" i="1"/>
  <c r="I102" i="1"/>
  <c r="I101" i="1"/>
  <c r="I100" i="1"/>
  <c r="I99" i="1"/>
  <c r="I97" i="1"/>
  <c r="I96" i="1"/>
  <c r="I98" i="1"/>
  <c r="I34" i="1"/>
  <c r="I31" i="1"/>
  <c r="I44" i="1"/>
  <c r="I45" i="1"/>
  <c r="I62" i="1"/>
  <c r="I67" i="1"/>
  <c r="I33" i="1"/>
  <c r="I110" i="1"/>
  <c r="I51" i="1"/>
  <c r="I56" i="1"/>
  <c r="I65" i="1"/>
  <c r="I72" i="1"/>
  <c r="I46" i="1"/>
  <c r="I74" i="1"/>
  <c r="I61" i="1"/>
  <c r="I75" i="1"/>
  <c r="I83" i="1"/>
  <c r="I35" i="1"/>
  <c r="I47" i="1"/>
  <c r="I50" i="1"/>
  <c r="I82" i="1"/>
  <c r="I37" i="1"/>
  <c r="I40" i="1"/>
  <c r="I57" i="1"/>
  <c r="I81" i="1"/>
  <c r="I32" i="1"/>
  <c r="I60" i="1"/>
  <c r="I49" i="1"/>
  <c r="I85" i="1"/>
  <c r="I23" i="1"/>
  <c r="I22" i="1"/>
  <c r="I21" i="1"/>
  <c r="I20" i="1"/>
  <c r="I29" i="1"/>
  <c r="I24" i="1"/>
  <c r="I28" i="1"/>
  <c r="I27" i="1"/>
  <c r="I26" i="1"/>
  <c r="I19" i="1"/>
  <c r="I18" i="1"/>
  <c r="I80" i="1"/>
  <c r="I86" i="1"/>
  <c r="I87" i="1"/>
  <c r="I88" i="1"/>
  <c r="I89" i="1"/>
  <c r="I90" i="1"/>
  <c r="I111" i="1"/>
  <c r="I123" i="1"/>
  <c r="I39" i="1"/>
  <c r="I42" i="1"/>
  <c r="I48" i="1"/>
  <c r="I52" i="1"/>
  <c r="I58" i="1"/>
  <c r="I69" i="1"/>
  <c r="I79" i="1"/>
  <c r="I127" i="1"/>
  <c r="I53" i="1"/>
  <c r="I59" i="1"/>
  <c r="I77" i="1"/>
  <c r="I70" i="1"/>
  <c r="I125" i="1"/>
  <c r="I41" i="1"/>
  <c r="I63" i="1"/>
  <c r="I54" i="1"/>
  <c r="I68" i="1"/>
  <c r="I84" i="1"/>
  <c r="I73" i="1"/>
  <c r="I36" i="1"/>
  <c r="I43" i="1"/>
  <c r="I64" i="1"/>
  <c r="I55" i="1"/>
  <c r="I66" i="1"/>
  <c r="I71" i="1"/>
  <c r="I76" i="1"/>
  <c r="I91" i="1"/>
  <c r="I30" i="1"/>
  <c r="I25" i="1"/>
  <c r="I17" i="1"/>
  <c r="I15" i="1"/>
  <c r="I13" i="1"/>
  <c r="I14" i="1"/>
  <c r="I12" i="1"/>
  <c r="I11" i="1"/>
  <c r="I10" i="1"/>
  <c r="H150" i="1"/>
  <c r="H151" i="1"/>
  <c r="T51" i="14"/>
  <c r="H51" i="14"/>
  <c r="L51" i="14"/>
  <c r="E51" i="14"/>
  <c r="N51" i="14"/>
  <c r="K51" i="14"/>
  <c r="O51" i="14"/>
  <c r="P51" i="14"/>
  <c r="J51" i="14"/>
  <c r="I51" i="14"/>
  <c r="Q51" i="14"/>
  <c r="R51" i="14"/>
  <c r="S51" i="14"/>
  <c r="M51" i="14"/>
  <c r="F51" i="14"/>
  <c r="G51" i="14"/>
  <c r="J27" i="14"/>
  <c r="H27" i="14"/>
  <c r="K27" i="14"/>
  <c r="I27" i="14"/>
  <c r="D25" i="14"/>
  <c r="J25" i="14" l="1"/>
  <c r="H25" i="14"/>
  <c r="G25" i="14"/>
  <c r="I25" i="14"/>
  <c r="D54" i="14" l="1"/>
  <c r="D53" i="14"/>
  <c r="G16" i="14" s="1"/>
  <c r="D55" i="14"/>
  <c r="J16" i="14" l="1"/>
  <c r="H16" i="14"/>
  <c r="E16" i="14"/>
  <c r="E14" i="14" s="1"/>
  <c r="T16" i="14"/>
  <c r="S16" i="14"/>
  <c r="M16" i="14"/>
  <c r="K16" i="14"/>
  <c r="L16" i="14"/>
  <c r="R16" i="14"/>
  <c r="P16" i="14"/>
  <c r="N16" i="14"/>
  <c r="Q16" i="14"/>
  <c r="F16" i="14"/>
  <c r="O16" i="14"/>
  <c r="I16" i="14"/>
  <c r="F14" i="14" l="1"/>
  <c r="G14" i="14" s="1"/>
  <c r="H14" i="14" s="1"/>
  <c r="I14" i="14" s="1"/>
  <c r="J14" i="14" s="1"/>
  <c r="K14" i="14" s="1"/>
  <c r="L14" i="14" s="1"/>
  <c r="M14" i="14" s="1"/>
  <c r="N14" i="14" s="1"/>
  <c r="O14" i="14" s="1"/>
  <c r="P14" i="14" s="1"/>
  <c r="Q14" i="14" s="1"/>
  <c r="R14" i="14" s="1"/>
  <c r="S14" i="14" s="1"/>
  <c r="T14" i="14" s="1"/>
</calcChain>
</file>

<file path=xl/sharedStrings.xml><?xml version="1.0" encoding="utf-8"?>
<sst xmlns="http://schemas.openxmlformats.org/spreadsheetml/2006/main" count="673" uniqueCount="436">
  <si>
    <t>DADOS DA OBRA
PROJETO DE MODIFICAÇÃO SEM ACRÉSCIMO DE ÁREA
OBRA: EXECUÇÃO DE MURO DE VEDAÇÃO
ENDEREÇO: SEPN 510, BLOCO A, LOTE 6, CEP 70.750-521, BRASÍLIA/DF
USO: INSTITUCIONAL
Projeto de Arquitetura: Arquiteta e Urbanista Katianne Marry Ferreira Barbosa                                                                                                   Registro no CAU: A387991</t>
  </si>
  <si>
    <t>DESCRIÇÃO DO PROJETO
O projeto proposto tem como produto a elaboração do Muro de vedação do Condomínio residencial com 3,00 m de altura e foi seccionado com 03 configurações diferentes.</t>
  </si>
  <si>
    <t>PLANILHA ORÇAMENTÁRIA E CRONOGRAMA FISICO E FINANCEIRO</t>
  </si>
  <si>
    <t>PROJETO DE MODIFICAÇÃO SEM ACRÉSCIMO DE ÁREA</t>
  </si>
  <si>
    <t>OBRA DE REFORMA EDIFÍCIO DE USO INSTITUCIONAL</t>
  </si>
  <si>
    <t>PLANILHA ORÇAMENTÁRIA - SINAPI  DF - ABRIL/2020</t>
  </si>
  <si>
    <r>
      <t xml:space="preserve">OBRA: </t>
    </r>
    <r>
      <rPr>
        <sz val="11"/>
        <color theme="0"/>
        <rFont val="Tw Cen MT"/>
        <family val="2"/>
      </rPr>
      <t>EXECUÇÃO DE 750,00 METROS QUADRADOS CONFORME PROJETO</t>
    </r>
  </si>
  <si>
    <t>ENDEREÇO: SEPN 510, BLOCO A, LOTE 6, CEP 70.750-521, BRASÍLIA/DF</t>
  </si>
  <si>
    <t xml:space="preserve"> BONIFICAÇÃO E DESPESAS INDIRETAS | BDI</t>
  </si>
  <si>
    <t>DISCRIMINAÇÃO</t>
  </si>
  <si>
    <r>
      <t xml:space="preserve">B.D.I.         </t>
    </r>
    <r>
      <rPr>
        <b/>
        <sz val="9"/>
        <color theme="0"/>
        <rFont val="Tw Cen MT"/>
        <family val="2"/>
      </rPr>
      <t xml:space="preserve">    edificação</t>
    </r>
  </si>
  <si>
    <r>
      <t xml:space="preserve">B.D.I.                             </t>
    </r>
    <r>
      <rPr>
        <b/>
        <sz val="8"/>
        <color theme="0"/>
        <rFont val="Tw Cen MT"/>
        <family val="2"/>
      </rPr>
      <t>equipamentos</t>
    </r>
  </si>
  <si>
    <t>Taxas Gerais: TG = [1+(AC/100)]x[1+(DF/100)]x[1+(R/100)]x[1+(L/100)]</t>
  </si>
  <si>
    <t>TG</t>
  </si>
  <si>
    <t>1.1</t>
  </si>
  <si>
    <t>Rasteio da Administração Central</t>
  </si>
  <si>
    <t>AC</t>
  </si>
  <si>
    <t>%</t>
  </si>
  <si>
    <t>1.2</t>
  </si>
  <si>
    <t>Despesas Financeiras</t>
  </si>
  <si>
    <t>DF</t>
  </si>
  <si>
    <t>1.3</t>
  </si>
  <si>
    <t>Riscos, Seguro e Garantia do Empreendimento</t>
  </si>
  <si>
    <t>R</t>
  </si>
  <si>
    <t>1.4</t>
  </si>
  <si>
    <t>Lucro</t>
  </si>
  <si>
    <t>L</t>
  </si>
  <si>
    <t>Impostos : I = (i°+i¹+i²+i³)</t>
  </si>
  <si>
    <t>I</t>
  </si>
  <si>
    <t>2.1</t>
  </si>
  <si>
    <t>COFINS</t>
  </si>
  <si>
    <t>i°</t>
  </si>
  <si>
    <t>2.2</t>
  </si>
  <si>
    <t>ISS</t>
  </si>
  <si>
    <t>i¹</t>
  </si>
  <si>
    <t>2.3</t>
  </si>
  <si>
    <t>PIS</t>
  </si>
  <si>
    <t>i²</t>
  </si>
  <si>
    <t>2.4</t>
  </si>
  <si>
    <t>Outros</t>
  </si>
  <si>
    <t>i³</t>
  </si>
  <si>
    <t xml:space="preserve">B.D.I. presumido = { [TG / ( 1 - ( I / 100 )) ] - 1 } x 100 </t>
  </si>
  <si>
    <t xml:space="preserve">     Cálculo base na composição do BDI conforme acódão TCU 325/2007 Plenário. Relator Ministro Guilerme Palmeira. Brasília 14 março 2007</t>
  </si>
  <si>
    <t xml:space="preserve">     Súmula 253/2010 - Tribunal de Contas da União    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</si>
  <si>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</si>
  <si>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____________________________________________________________</t>
  </si>
  <si>
    <t xml:space="preserve">Katianne Marry Ferreira Barbosa
Arquiteta e Urbanista
CAU – A38799-1
</t>
  </si>
  <si>
    <t>Conselho de Arquitetura e Urbanismo do Distrito Federal - CAU/DF</t>
  </si>
  <si>
    <t>OBRA DE REFORMA EDIFÍCIO INSTITUCIONAL</t>
  </si>
  <si>
    <t>ENDEREÇO: SEPN 510, BLOCO A, LOTE 6 - TÉRREO, CEP 70.750-521, BRASÍLIA/DF</t>
  </si>
  <si>
    <t>PRAZO: 90 dias  | INÍCIO: DEZ/2023-  TÉRMINO:MARÇO / 2024</t>
  </si>
  <si>
    <t>BDI =20,00%</t>
  </si>
  <si>
    <t>CRONOGRAMA DE ACOMPANHAMENTO FÍSICO-FINANCEIRO
(REFORMA SEM ACRÉSCIMO DE ÁREA) A= 750,00m²</t>
  </si>
  <si>
    <t>INÍCIO (O.S.)</t>
  </si>
  <si>
    <t>MEDIÇÃO NO PERÍODO</t>
  </si>
  <si>
    <t>MARCOS REALIZADOS</t>
  </si>
  <si>
    <t>% EXECUTADO NO PERÍODO</t>
  </si>
  <si>
    <t>MARCOS PLANEJADOS</t>
  </si>
  <si>
    <t>PLANEJADO ACUMULADO</t>
  </si>
  <si>
    <t>EXECUTADO ACUMULADO</t>
  </si>
  <si>
    <t>PLANEJADO MENSAL</t>
  </si>
  <si>
    <t xml:space="preserve">DIFERENÇA ENTRE O PLANEJADO E O EXECUTADO ACUMULADO </t>
  </si>
  <si>
    <t>ITEM</t>
  </si>
  <si>
    <t>DESCRIÇÃO</t>
  </si>
  <si>
    <t>R$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</si>
  <si>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</si>
  <si>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</si>
  <si>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</si>
  <si>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</si>
  <si>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</si>
  <si>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</si>
  <si>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</si>
  <si>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</si>
  <si>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</si>
  <si>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</si>
  <si>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</si>
  <si>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</si>
  <si>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</si>
  <si>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</si>
  <si>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</si>
  <si>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</si>
  <si>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TOTAL</t>
  </si>
  <si>
    <t>1.0</t>
  </si>
  <si>
    <t>2.0</t>
  </si>
  <si>
    <t>3.0</t>
  </si>
  <si>
    <t>4.0</t>
  </si>
  <si>
    <t>5.0</t>
  </si>
  <si>
    <t>6.0</t>
  </si>
  <si>
    <t>12.0</t>
  </si>
  <si>
    <t>13.0</t>
  </si>
  <si>
    <t>14.0</t>
  </si>
  <si>
    <t>15.0</t>
  </si>
  <si>
    <t>16.0</t>
  </si>
  <si>
    <t>17.0</t>
  </si>
  <si>
    <t>18.0</t>
  </si>
  <si>
    <t>23.0</t>
  </si>
  <si>
    <t>25.0</t>
  </si>
  <si>
    <t>26.0</t>
  </si>
  <si>
    <t>PLANILHA ORÇAMENTÁRIA - SINAPI  DF - NOVEMBRO/2023</t>
  </si>
  <si>
    <r>
      <t xml:space="preserve">OBRA: </t>
    </r>
    <r>
      <rPr>
        <sz val="11"/>
        <color theme="0"/>
        <rFont val="Tw Cen MT"/>
        <family val="2"/>
      </rPr>
      <t>EXECUÇÃO DE 750,00 METROS QUADRADOS. EXECUTAR CONFORME PROJETO</t>
    </r>
  </si>
  <si>
    <t>PRAZO: 90 DIAS CORRIDOS</t>
  </si>
  <si>
    <r>
      <t xml:space="preserve">          </t>
    </r>
    <r>
      <rPr>
        <b/>
        <sz val="12"/>
        <color theme="0"/>
        <rFont val="Tw Cen MT"/>
        <family val="2"/>
      </rPr>
      <t xml:space="preserve">BDI = </t>
    </r>
    <r>
      <rPr>
        <sz val="12"/>
        <color theme="0"/>
        <rFont val="Tw Cen MT"/>
        <family val="2"/>
      </rPr>
      <t>20%</t>
    </r>
  </si>
  <si>
    <t>CÓDIGO</t>
  </si>
  <si>
    <t>ESPECIFICAÇÃO</t>
  </si>
  <si>
    <t>UNID</t>
  </si>
  <si>
    <t>QUANT</t>
  </si>
  <si>
    <t xml:space="preserve"> UNIT(R$)</t>
  </si>
  <si>
    <t xml:space="preserve"> TOTAL(R$)</t>
  </si>
  <si>
    <t>1.00</t>
  </si>
  <si>
    <t xml:space="preserve">ADMINISTRAÇÃO DA OBRA </t>
  </si>
  <si>
    <t>1.01</t>
  </si>
  <si>
    <t>ENCARGOS ADMINISTRATIVOS</t>
  </si>
  <si>
    <t>CAU/CREA</t>
  </si>
  <si>
    <t>1.01.01</t>
  </si>
  <si>
    <t>RRT/ ART DE EXECUÇÃO (CIVIL - ELÉTRICA -MECÂNICA)</t>
  </si>
  <si>
    <t>UND.</t>
  </si>
  <si>
    <t>1.01.02</t>
  </si>
  <si>
    <t>TAXAS ADMINISTRATIVAS</t>
  </si>
  <si>
    <t>1.01.03</t>
  </si>
  <si>
    <t>SEGURO DE OBRA | RESPONSABILIDADE TÉCNICA</t>
  </si>
  <si>
    <t>1.01.04</t>
  </si>
  <si>
    <t>SEGURO DE OBRA | SEGURO DE VIDA E ACIDENTE DE FUNCIONÁRIOS</t>
  </si>
  <si>
    <t>1.01.05</t>
  </si>
  <si>
    <t>AS BUILT DE TODOS OS PROJETOS REFERENTES AO OBJETO</t>
  </si>
  <si>
    <t>COMPOSIÇÃO</t>
  </si>
  <si>
    <t>1.02</t>
  </si>
  <si>
    <t>ADMINISTRAÇÃO LOCAL - EQUIPE PERMANENTE</t>
  </si>
  <si>
    <t>SINAPI 101373</t>
  </si>
  <si>
    <t>1.02.01</t>
  </si>
  <si>
    <t>ARQUITETO (A) / ENGENHEIRO (A) CIVIL DE OBRA SENIOR COM ENCARGOS COMPLEMENTARES - COMPROVAÇÃO POR CAT</t>
  </si>
  <si>
    <t>H</t>
  </si>
  <si>
    <t xml:space="preserve"> SINAPI 91677</t>
  </si>
  <si>
    <t>1.02.02</t>
  </si>
  <si>
    <t>ENGENHEIRO ELETRICISTA COM ENCARGOS COMPLEMENTARES</t>
  </si>
  <si>
    <t>MERCADO</t>
  </si>
  <si>
    <t>1.02.03</t>
  </si>
  <si>
    <t>ENGENHEIRO MECÂNICO COM ENCARGOS COMPLEMENTARES</t>
  </si>
  <si>
    <t>SINAPI 101416</t>
  </si>
  <si>
    <t>1.02.04</t>
  </si>
  <si>
    <t>MECÂNICO DE REFRIGERAÇÃO COM ENCARGOS COMPLEMENTARES</t>
  </si>
  <si>
    <t>MÊS</t>
  </si>
  <si>
    <t>SINAPI 100309</t>
  </si>
  <si>
    <t>1.02.05</t>
  </si>
  <si>
    <t>TÉCNICO EM SEGURANÇA DO TRABALHO COM ENCARGOS COMPLEMENTARES</t>
  </si>
  <si>
    <t xml:space="preserve">SINAPI 101399	</t>
  </si>
  <si>
    <t>1.02.06</t>
  </si>
  <si>
    <t>ELETRICISTA COM ENCARGOS COMPLEMENTARES</t>
  </si>
  <si>
    <t>SINAPI 94295</t>
  </si>
  <si>
    <t>1.02.07</t>
  </si>
  <si>
    <t>MESTRE DE OBRAS COM ENCARGOS COMPLEMENTARES</t>
  </si>
  <si>
    <t>COMPOSIÇÕES     INSUMOS SINAPI</t>
  </si>
  <si>
    <t>2.00</t>
  </si>
  <si>
    <t>SERVIÇOS PRELIMINARES E ALUGUEL DE EQUIPAMENTOS</t>
  </si>
  <si>
    <t>INSUMO 00004813</t>
  </si>
  <si>
    <t>PLACA DE OBRA (PARA CONSTRUCAO CIVIL) EM CHAPA GALVANIZADA *N. 22*, ADESIVADA, DE *2,4 X 1,2* M (SEM POSTES PARA FIXACAO)</t>
  </si>
  <si>
    <t>UNID.</t>
  </si>
  <si>
    <t xml:space="preserve">ALUGUEL DE EQUIPAMENTOS </t>
  </si>
  <si>
    <t>LIGAÇÕES PROVISÓRIAS (ENERGIA, ÁGUA E ESGOTO PARA A OBRA)</t>
  </si>
  <si>
    <t>PLACAS DE SINALIZAÇÃO | INSTALAÇÃO DE GAMBIARRA PARA SINALIZAÇÃO, PADRÃO 20 M, INCLUINDO LÂMPA DA, BOCAL E BALDE A CADA 2 M</t>
  </si>
  <si>
    <t>COMPOSIÇÃO (MT + M.O)</t>
  </si>
  <si>
    <t>3.00</t>
  </si>
  <si>
    <t>INSTALAÇÕES ELÉTRICAS</t>
  </si>
  <si>
    <t>CCMPOSIÇÃO</t>
  </si>
  <si>
    <t>3.1</t>
  </si>
  <si>
    <t>REMOÇÕES</t>
  </si>
  <si>
    <t>SINAPI 97662</t>
  </si>
  <si>
    <t>3.1.1</t>
  </si>
  <si>
    <t xml:space="preserve">REMOÇÃO DE CABOS ELÉTRICOS, DE FORMA MANUAL, SEM REAPROVEITAMENTO. AF_12/2017 - </t>
  </si>
  <si>
    <t>M/L</t>
  </si>
  <si>
    <t>SINAPI 97665</t>
  </si>
  <si>
    <t>3.1.2</t>
  </si>
  <si>
    <t>REMOÇÃO DE LUMINÁRIAS, DE FORMA MANUAL, SEM REAPROVEITAMENTO. AF_12/2017 (EXCETO AUDITÓRIO, RECEPÇÃO E FOYER )</t>
  </si>
  <si>
    <t>3.2</t>
  </si>
  <si>
    <t>QUADROS DISTRIBUIÇÃO EXISTENTES REAPOROVEITAR E CORRIGIR</t>
  </si>
  <si>
    <t>3.2.1</t>
  </si>
  <si>
    <t>QDLF - 1 EXISTENTE: REAPROVEITAR E CORRIGIR CONFORME LAUDO TÉCNICO</t>
  </si>
  <si>
    <t>3.2.2</t>
  </si>
  <si>
    <t>QDLF - 2 EXISTENTE: REAPROVEITAR E CORRIGIR CONFORME LAUDO TÉCNICO</t>
  </si>
  <si>
    <t>3.2.3</t>
  </si>
  <si>
    <t>QDLF - 3 EXISTENTE: REAPROVEITAR E CORRIGIR CONFORME LAUDO TÉCNICO</t>
  </si>
  <si>
    <t>3.2.4</t>
  </si>
  <si>
    <t>REUTILIZAÇÃO DAS TOMADAS DE PAREDE E DE PISO (CONJUTO COMPLETO)</t>
  </si>
  <si>
    <t>TODAS</t>
  </si>
  <si>
    <t>3.3</t>
  </si>
  <si>
    <t>QUADROS NOVOS E CAIXAS DE PASSAGENS</t>
  </si>
  <si>
    <t>3.3.1</t>
  </si>
  <si>
    <r>
      <t xml:space="preserve">QUADRO GERAL (800x400x250)mm, MONTADO ESTILO ARMARIO COMPOSTO POR: PLACA DE MONTAGEM; BARRAMENTO TRIFÁSICO PRINCIPAL -300A; BARRAMENTO DE NEUTRO-300A; BARRAMENTO DE TERRA 150A; CANALETAS PARA ORGANIZAÇÃO DOS CABOS; PLACA DE ACRÍLICO PARA PROTEÇÃO DOS BARRAMENTOS; ISOLADORES ; CHAVE TIPO  YALE PARA FECHAMENTO DO QUADRO.PLACAS DE IDENTIFICAÇÃO DE CIRCUITOS. </t>
    </r>
    <r>
      <rPr>
        <b/>
        <sz val="10.5"/>
        <color rgb="FF000000"/>
        <rFont val="Tw Cen MT"/>
        <family val="2"/>
      </rPr>
      <t xml:space="preserve">NOVO QUADRO GERAL DE ENERGIA  QGE. DESLOCAR PARA AMBIENTE CPD. REAPROVEITAR TRAJETÓRIAS EXISTENTES NOS SHAFTS </t>
    </r>
  </si>
  <si>
    <t>SINAPI 101881</t>
  </si>
  <si>
    <t>3.3.2</t>
  </si>
  <si>
    <r>
      <t xml:space="preserve">QUADRO DE DISTRIBUIÇÃO DE ENERGIA EM CHAPA DE AÇO GALVANIZADO, DE EMBUTIR, COM BARRAMENTO TRIFÁSICO, PARA 40 DISJUNTORES DIN 100A - FORNECIMENTO E INSTALAÇÃO. AF_10/2020.                                            </t>
    </r>
    <r>
      <rPr>
        <b/>
        <sz val="10.5"/>
        <color rgb="FF000000"/>
        <rFont val="Tw Cen MT"/>
        <family val="2"/>
      </rPr>
      <t>NOVO QUADRO DISTRIBUIÇÃO EXCLUSIVO PARA VRF</t>
    </r>
  </si>
  <si>
    <t>SINAPI  95817</t>
  </si>
  <si>
    <t>3.3.3</t>
  </si>
  <si>
    <t>CONDULETE DE PVC, TIPO X, PARA ELETRODUTO DE PVC SOLDÁVEL DN 25 MM (3/4''), APARENTE - FORNECIMENTO E INSTALAÇÃO. AF_11/2016</t>
  </si>
  <si>
    <t xml:space="preserve">SINAPI  95808	</t>
  </si>
  <si>
    <t>3.3.4</t>
  </si>
  <si>
    <t>CONDULETE DE PVC, TIPO LL, PARA ELETRODUTO DE PVC SOLDÁVEL DN 25 MM (3/4''), APARENTE - FORNECIMENTO E INSTALAÇÃO. AF_11/2016</t>
  </si>
  <si>
    <t xml:space="preserve">SINAPI </t>
  </si>
  <si>
    <t>3.3.5</t>
  </si>
  <si>
    <t>CAIXA OCTOGONAL 4" X 4", PVC, INSTALADA EM LAJE - FORNECIMENTO E INSTALAÇÃO.</t>
  </si>
  <si>
    <t>3.3.6</t>
  </si>
  <si>
    <t>CAIXA RETANGULAR 4" X 2" MÉDIA (1,30 M DO PISO), PVC, INSTALADA EM PAREDE - FORNECIMENTO E INSTALAÇÃO.</t>
  </si>
  <si>
    <t>3.3.7</t>
  </si>
  <si>
    <t>CAIXA RETANGULAR 4" X 2" BAIXA (1,30 M DO PISO), PVC, INSTALADA EM PAREDE - FORNECIMENTO E INSTALAÇÃO.</t>
  </si>
  <si>
    <t>3.3.8</t>
  </si>
  <si>
    <t>CAIXA DE PASSAGEM METALICA 20X20X12 CM</t>
  </si>
  <si>
    <t>3.3.9</t>
  </si>
  <si>
    <t>CAIXA DE PASSAGEM METALICA 30X30X12 CM</t>
  </si>
  <si>
    <t>3.4</t>
  </si>
  <si>
    <t>DUTOS E CANAIS PARA FIOS E CABOS</t>
  </si>
  <si>
    <t>SINAPI 91834</t>
  </si>
  <si>
    <t>3.4.1</t>
  </si>
  <si>
    <t>ELETRODUTO FLEXÍVEL CORRUGADO, PVC, DN 25 MM (3/4"), PARA CIRCUITOS TERMINAIS, INSTALADO EM FORRO - FORNECIMENTO E INSTALAÇÃO.</t>
  </si>
  <si>
    <t>SINAPI 91871</t>
  </si>
  <si>
    <t>3.4.2</t>
  </si>
  <si>
    <t>ELETRODUTO RÍGIDO ROSCÁVEL, PVC, DN 25 MM (3/4"), PARA CIRCUITOS TERMINAIS, INSTALADO EM PAREDE - FORNECIMENTO E INSTALAÇÃO.</t>
  </si>
  <si>
    <t>SINAPI 91868</t>
  </si>
  <si>
    <t>3.4.3</t>
  </si>
  <si>
    <t>ELETRODUTO RÍGIDO ROSCÁVEL, PVC, DN 32 MM (1"), PARA CIRCUITOS TERMINAIS, INSTALADO EM LAJE - FORNECIMENTO E INSTALAÇÃO. AF_12/2015</t>
  </si>
  <si>
    <t>SINAPI 91872</t>
  </si>
  <si>
    <t>3.4.4</t>
  </si>
  <si>
    <t>ELETRODUTO RÍGIDO ROSCÁVEL, PVC, DN 32 MM (1"), PARA CIRCUITOS TERMINAIS, INSTALADO EM PAREDE - FORNECIMENTO E INSTALAÇÃO. AF_12/2015</t>
  </si>
  <si>
    <t>3.4.5</t>
  </si>
  <si>
    <t xml:space="preserve">Eletrocalha perfurada 100x100x3000mm com vergalhão e acessórios. FORNECIMENTO E INSTALAÇÃO. </t>
  </si>
  <si>
    <t>3.4.6</t>
  </si>
  <si>
    <t>CURVA DE INVERSÃO PARA ELETROCALHA - FORNECIMENTO E INSTALAÇÃO</t>
  </si>
  <si>
    <t>3.4.7</t>
  </si>
  <si>
    <t>CURVA DE 90° PARA ELETROCALHA - FORNECIMENTO E INSTALAÇÃO</t>
  </si>
  <si>
    <t>3.4.8</t>
  </si>
  <si>
    <t>T HORIZONTAL PARA ELETROCALHA - FORNECIMENTO E INSTALAÇÃO</t>
  </si>
  <si>
    <t>3.4.9</t>
  </si>
  <si>
    <t>Saida horizontal  (eletrocalha para eletroduto 3/4")-FORNECIMENTO E INSTALAÇÃO</t>
  </si>
  <si>
    <t>3.5</t>
  </si>
  <si>
    <t>DISJUNTORES</t>
  </si>
  <si>
    <t>SINAPI 93654</t>
  </si>
  <si>
    <t>3.5.1</t>
  </si>
  <si>
    <t>DISJUNTOR MONOPOLAR TIPO DIN, CORRENTE NOMINAL DE 16A - FORNECIMENTO E INSTALAÇÃO. AF_10/2020 (EVAPORADORAS VRF)</t>
  </si>
  <si>
    <t>SINAPI 93655</t>
  </si>
  <si>
    <t>3.5.2</t>
  </si>
  <si>
    <t>DISJUNTOR MONOPOLAR TIPO DIN, CORRENTE NOMINAL DE 20A - FORNECIMENTO E INSTALAÇÃO. AF_10/2020</t>
  </si>
  <si>
    <t>SINAPI 93656</t>
  </si>
  <si>
    <t>3.5.3</t>
  </si>
  <si>
    <t>DISJUNTOR MONOPOLAR TIPO DIN, CORRENTE NOMINAL DE 25A - FORNECIMENTO E INSTALAÇÃO. AF_10/2020</t>
  </si>
  <si>
    <t>SINAPI 93657</t>
  </si>
  <si>
    <t>3.5.4</t>
  </si>
  <si>
    <t>DISJUNTOR MONOPOLAR TIPO DIN, CORRENTE NOMINAL DE 32A - FORNECIMENTO E INSTALAÇÃO. AF_10/2020</t>
  </si>
  <si>
    <t>SINAPI 101894</t>
  </si>
  <si>
    <t>3.5.8</t>
  </si>
  <si>
    <t>DISJUNTOR TRIPOLAR TIPO NEMA, CORRENTE NOMINAL DE 60 ATÉ 100A - FORNECIMENTO E INSTALAÇÃO. AF_10/2020</t>
  </si>
  <si>
    <t>SINAPI 101895</t>
  </si>
  <si>
    <t>3.5.9</t>
  </si>
  <si>
    <t>DISJUNTOR TERMOMAGNÉTICO TRIPOLAR , CORRENTE NOMINAL DE 125A - FORNECIMENTO E INSTALAÇÃO. AF_10/2020</t>
  </si>
  <si>
    <t>INSUMO 00039452</t>
  </si>
  <si>
    <t>3.5.10</t>
  </si>
  <si>
    <t>DISPOSITIVO DR, 2 POLOS, SENSIBILIDADE DE 300 MA, CORRENTE DE 63 A, TIPO AC</t>
  </si>
  <si>
    <t>INSUMO 00039471</t>
  </si>
  <si>
    <t>3.5.11</t>
  </si>
  <si>
    <t>DISPOSITIVO DPS CLASSE II, 1 POLO, TENSAO MAXIMA DE 275 V, CORRENTE MAXIMA DE *45* KA (TIPO AC)</t>
  </si>
  <si>
    <t>3.6</t>
  </si>
  <si>
    <t>FIOS E CABOS PARA A DISTRIBUIÇÃO DOS RAMAIS (CORES NBR 5410)</t>
  </si>
  <si>
    <t>SINAPI 91926</t>
  </si>
  <si>
    <t>3.6.1</t>
  </si>
  <si>
    <t>CABO DE COBRE FLEXÍVEL ISOLADO, 2,5 MM², ANTI-CHAMA 450/750 V, PARA CIRCUITOS TERMINAIS - FORNECIMENTO E INSTALAÇÃO - COR VERMELHO (FASE)</t>
  </si>
  <si>
    <t>3.6.2</t>
  </si>
  <si>
    <t>CABO DE COBRE FLEXÍVEL ISOLADO, 2,5 MM², ANTI-CHAMA 450/750 V, PARA CIRCUITOS TERMINAIS - FORNECIMENTO E INSTALAÇÃO - COR AZUL (NEUTRO)</t>
  </si>
  <si>
    <t>3.6.3</t>
  </si>
  <si>
    <r>
      <t>CABO DE COBRE FLEXÍVEL ISOLADO, 2,5 MM², ANTI-CHAMA 450/750 V, PARA CIRCUITOS TERMINAIS - FORNECIMENTO E INSTALAÇÃO -</t>
    </r>
    <r>
      <rPr>
        <b/>
        <sz val="10.5"/>
        <color rgb="FF000000"/>
        <rFont val="Tw Cen MT"/>
        <family val="2"/>
      </rPr>
      <t xml:space="preserve"> COR VERDE (TERRA)</t>
    </r>
  </si>
  <si>
    <t>3.6.4</t>
  </si>
  <si>
    <t>CABO DE COBRE FLEXÍVEL ISOLADO, 2,5 MM², ANTI-CHAMA 450/750 V, PARA CIRCUITOS TERMINAIS - FORNECIMENTO E INSTALAÇÃO - COR BRANCO (RETORNO)</t>
  </si>
  <si>
    <t>SINAPI 91928</t>
  </si>
  <si>
    <t>3.6.5</t>
  </si>
  <si>
    <t>CABO DE COBRE FLEXÍVEL ISOLADO, 4,0 MM², ANTI-CHAMA 450/750 V, PARA CIRCUITOS TERMINAIS - FORNECIMENTO E INSTALAÇÃO - COR VERMELHO (FASE)</t>
  </si>
  <si>
    <t>3.6.6</t>
  </si>
  <si>
    <t>CABO DE COBRE FLEXÍVEL ISOLADO, 4,0 MM², ANTI-CHAMA 450/750 V, PARA CIRCUITOS TERMINAIS - FORNECIMENTO E INSTALAÇÃO - COR AZUL (NEUTRO)</t>
  </si>
  <si>
    <t>3.6.7</t>
  </si>
  <si>
    <t>CABO DE COBRE FLEXÍVEL ISOLADO, 4,0 MM², ANTI-CHAMA 450/750 V, PARA CIRCUITOS TERMINAIS - FORNECIMENTO E INSTALAÇÃO - COR VERDE (TERRA)</t>
  </si>
  <si>
    <t>SINAPI 91931</t>
  </si>
  <si>
    <t>3.6.8</t>
  </si>
  <si>
    <t>CABO DE COBRE FLEXÍVEL ISOLADO, 6 MM², ANTI-CHAMA 0,6/1,0 KV, PARA CIRCUITOS TERMINAIS - FORNECIMENTO E INSTALAÇÃO - COR VERDE (TERRA)</t>
  </si>
  <si>
    <t>3.6.9</t>
  </si>
  <si>
    <t>CABO DE COBRE FLEXÍVEL ISOLADO, 6 MM², ANTI-CHAMA 0,6/1,0 KV, PARA CIRCUITOS TERMINAIS - FORNECIMENTO E INSTALAÇÃO - COR AZUL (NEUTRO)</t>
  </si>
  <si>
    <t>3.6.10</t>
  </si>
  <si>
    <t>CABO DE COBRE FLEXÍVEL ISOLADO, 6 MM², ANTI-CHAMA 0,6/1,0 KV, PARA CIRCUITOS TERMINAIS - FORNECIMENTO E INSTALAÇÃO - COR PRETO (FASE)</t>
  </si>
  <si>
    <t>SINAPI 92982</t>
  </si>
  <si>
    <t>3.6.11</t>
  </si>
  <si>
    <t>CABO DE COBRE FLEXÍVEL ISOLADO, 16 MM², ANTI-CHAMA 0,6/1,0 KV, PARA DISTRIBUIÇÃO - FORNECIMENTO E INSTALAÇÃO - COR AZUL (NEUTRO)</t>
  </si>
  <si>
    <t>3.6.12</t>
  </si>
  <si>
    <t>CABO DE COBRE FLEXÍVEL ISOLADO, 16 MM², ANTI-CHAMA 0,6/1,0 KV, PARA DISTRIBUIÇÃO - FORNECIMENTO E INSTALAÇÃO - COR PRETO (FASE)</t>
  </si>
  <si>
    <t>3.6.13</t>
  </si>
  <si>
    <t>CABO DE COBRE FLEXÍVEL ISOLADO, 16 MM², ANTI-CHAMA 0,6/1,0 KV, PARA DISTRIBUIÇÃO - FORNECIMENTO E INSTALAÇÃO - COR VERDE (TERRA)</t>
  </si>
  <si>
    <t>SINAPI 92986</t>
  </si>
  <si>
    <t>3.6.14</t>
  </si>
  <si>
    <t>CABO DE COBRE FLEXÍVEL ISOLADO, 35 MM², ANTI-CHAMA 0,6/1,0 KV, PARA DISTRIBUIÇÃO - FORNECIMENTO E INSTALAÇÃO - COR AZUL (NEUTRO)</t>
  </si>
  <si>
    <t>3.6.15</t>
  </si>
  <si>
    <t>CABO DE COBRE FLEXÍVEL ISOLADO, 35 MM², ANTI-CHAMA 0,6/1,0 KV, PARA DISTRIBUIÇÃO - FORNECIMENTO E INSTALAÇÃO - COR PRETO (FASE)</t>
  </si>
  <si>
    <t>3.6.16</t>
  </si>
  <si>
    <t>CABO DE COBRE FLEXÍVEL ISOLADO, 35 MM², ANTI-CHAMA 0,6/1,0 KV, PARA DISTRIBUIÇÃO - FORNECIMENTO E INSTALAÇÃO - COR VERDE (TERRA)</t>
  </si>
  <si>
    <t>3.7</t>
  </si>
  <si>
    <t>LUMINÁRIAS</t>
  </si>
  <si>
    <t>3.7.1</t>
  </si>
  <si>
    <r>
      <t xml:space="preserve">LUMINÁRIA LED DIFUSA LINEAR 25W P/ TRILHO ELETRIFICADO COR PRETO 220V. Dimensões: 2,2 × 30 × 4,3 cm. FLUXO LUMINOSO 2.000 LUMENS. POTÊNCIA: 25 WATTS.TEMPERATURA: BRANCO QUENTE (3000K).TENSÃO: 85-265V. FREQUÊNCIA: 50/60HZ.IRC: 80.ÂNGULO DE ABERTURA: 180 GRAUS.                         </t>
    </r>
    <r>
      <rPr>
        <b/>
        <sz val="10.5"/>
        <color rgb="FF000000"/>
        <rFont val="Tw Cen MT"/>
        <family val="2"/>
      </rPr>
      <t>LOCAL: ESTAÇÕES DE TRABALHO E CIRCULAÇÃO ADJACENTE.</t>
    </r>
  </si>
  <si>
    <t>3.7.2</t>
  </si>
  <si>
    <r>
      <t xml:space="preserve">LUMINÁRIA QUADRADA EMBUTIR DE ALETAS METÁLICAS PARA 02 OU 04 LÂMPADAS FLUORESCENTES TUBULARES, T5 OU T8 LED (A DEPENDER DO MODLETO). INCLUIR LÂMPADAS, 3000 K –DIMENSÕES DAS LUMINÁRIAS DEVEM SER COMPATÍVEIS COM AS MEDIDAS DAS PLACAS MINERAIS EXISTENTES. SEGUIR A PAGINAÇÃO DE FORRO E PREVER SUBSTITUIÇÃO DAS PLACAS DANIFICADAS. COMPATIBILIZAR A LUMINOTECNIA COM OS DEMAIS EQUIPAMENTOS DOS SISTEMAS EXISTENTES. </t>
    </r>
    <r>
      <rPr>
        <b/>
        <sz val="10.5"/>
        <color rgb="FF000000"/>
        <rFont val="Tw Cen MT"/>
        <family val="2"/>
      </rPr>
      <t>LOCAL: SETOR ADMINISTRATIVO E SEUS APOIOS</t>
    </r>
  </si>
  <si>
    <t>3.7.3</t>
  </si>
  <si>
    <r>
      <t xml:space="preserve">LUMINÁRIA INDUSTRIAL PENDENTE RETANGULAR LED 25W 2940LM 28W 1700LM, 3000K, INSTALADAS NO EIXO DA MESA DA PRESIDÊNCIA E NA MESA DE REUNIÕES EXISTENTES. - DIMENSÕES: 1300X8,5CMX8,5CM; - CABO DE 120CM; REGULÁVEL - SOQUETE G13, PRÓPRIO PARA LÂMPADAS T8 (TUBULARES) 120CM - LÂMPADAS INCLUSAS.                                                      </t>
    </r>
    <r>
      <rPr>
        <b/>
        <sz val="10.5"/>
        <color rgb="FF000000"/>
        <rFont val="Tw Cen MT"/>
        <family val="2"/>
      </rPr>
      <t>LOCAL: PRESIDÊNCIA</t>
    </r>
  </si>
  <si>
    <t>3.7.4</t>
  </si>
  <si>
    <t>CONJUNTO DIFUSOR LEITOSO E PLACA DE LED 12W 3000 K (RÍGIDA CERTIFICADA ISO 9001), 220V, 2000LM – CONJUNTO FIXADO EM TODA A EXTENSÃO DO PERFILADO EXISTENTE. OBS: FITAS DE LED NÃO SERÃO ACEITAS COMO ALTERNATIVA ÀS PLACAS DE LED. INCLUIR DRIVER E DEMAIS ACESSÓRIOS NECESSÁRIOS. NOS LOCAIS NOS QUAIS A ILUMINAÇÃO ANÁLOGA EXISTENTE APRESENTA INSTABILIDADES E BAIXO DESEMPENHO.</t>
  </si>
  <si>
    <t>3.7.5</t>
  </si>
  <si>
    <t>LUMINARIA PAR38 PROJETOR E27 EMBUTIR SOLO LS210G COM GRADE (ILUMINAR LOGOMARCA 3D EXTERNO)</t>
  </si>
  <si>
    <t>CLIMATIZAÇÃO ARTIFICIAL SISTEMA VRF (20 EVAPORADORAS)   RENOVAÇÃO DE AR E EXAUSTÃO</t>
  </si>
  <si>
    <t>4.1</t>
  </si>
  <si>
    <t>SISTEMA PARCIAL 20 EVAPORADORAS VRF E 01 CONDENSADORA VRF  - PREVISÃO EXPANSÃO FUTURA P/ 30 EVAPORADORAS</t>
  </si>
  <si>
    <t>4.1.1</t>
  </si>
  <si>
    <t>INSTALAÇÃO E FORNECIMENTO DE REDE FRIGORÍGENA E DRENOS</t>
  </si>
  <si>
    <r>
      <t>CONFECÇÃO DE SUPORTE PARA SUSTENTAÇÃO DA UNIDADE CONDENSADORA (SE NECESSÁRIO), CONFECÇÃO DE LINHAS FRIGORÍGENAS EM TUBULAÇÃO DE COBRE (FLEXÍVEIS / RÍGIDOS), COM ISOLAMENTO TÉRMICO, PRESSURIZAÇÃO DA LINHA COM NITROGÊNIO, VÁCUO, CARGA DE GÁS COM UTILIZAÇÃO DE GÁS ECOLÓGICO 410A.
EXECUÇÃO DE DRENAGEM EM PVC, PARA ATENDER O SISTEMA DE ÁGUA DE CONDENSAÇÃO, E COMANDOS COM CABO SHIELDADO, PARA INTERLIGAR AS UNIDADES EVAPORADORAS (INTERNA) ÀS UNIDADES CONDENSADORAS (EXTERNA).
START UP DOS SISTEMAS, TESTES PARA A ENTREGA.
SISTEMA DE EXAUSTÃO E RENOVAÇÃO DE AR. 
DESINSTALAÇÃO DE TODOS OS EQUIPAMENTOS DE AR-CONDICIONADO EXISTENTES NO LOCAL DA OBRA.</t>
    </r>
    <r>
      <rPr>
        <b/>
        <sz val="11"/>
        <rFont val="Tw Cen MT"/>
        <family val="2"/>
      </rPr>
      <t>.</t>
    </r>
  </si>
  <si>
    <t xml:space="preserve">COMPOSIÇÕES </t>
  </si>
  <si>
    <t>4.1.2</t>
  </si>
  <si>
    <t>FORNECIMENTO, INSTALAÇÃO EQUIPAMENTOS VRF/VRV (ESPECIFICAÇÕES SUGERIDAS)</t>
  </si>
  <si>
    <t>4.1.2.1</t>
  </si>
  <si>
    <t>FXAQ25AVM - UNID. EVAPORADORA VRV TIPO HI-WALL - 2.400 KCAL/H</t>
  </si>
  <si>
    <t>4.1.2.2</t>
  </si>
  <si>
    <t>FXAQ32AVM - UNID. EVAPORADORA VRV TIPO HI-WALL - 3.100 KCAL/H</t>
  </si>
  <si>
    <t>4.1.2.3</t>
  </si>
  <si>
    <t>FXAQ50AVM - UNID. EVAPORADORA VRV TIPO HI-WALL - 4.800 KCAL/H</t>
  </si>
  <si>
    <t>4.1.2.4</t>
  </si>
  <si>
    <t>FXFQ80AVM-UNID. EVAPORADORA VRV TIPO CASSETE ROUND FLOW 8.000 KCAL/H</t>
  </si>
  <si>
    <t>4.1.2.5</t>
  </si>
  <si>
    <t>BYCQ125EAF - PAINEL DECORATIVO P/UNID EVAP CASSETE ROUND FLOW VRV FXFQ-AVM - COR BRANCA OU PRETA</t>
  </si>
  <si>
    <t>4.1.2.6</t>
  </si>
  <si>
    <t>FXDQ80PDVE-UNID. EVAPORADORA VRV TIPO DUTO / TETO - 8.000 KCAL/H</t>
  </si>
  <si>
    <t>4.1.2.7</t>
  </si>
  <si>
    <t>KHRP26A22T7 - REFNET - CONEXAO DE COBRE</t>
  </si>
  <si>
    <t>4.1.2.8</t>
  </si>
  <si>
    <t>KHRP26A72T9 - REFNET - CONEXAO DE COBRE</t>
  </si>
  <si>
    <t>4.1.2.9</t>
  </si>
  <si>
    <t>KHRP26A73T9-REFNET - CONEXAO DE COBRE</t>
  </si>
  <si>
    <t>4.1.2.10</t>
  </si>
  <si>
    <t>KHRP26M73TP9 - REDUCAO PARA REFNET</t>
  </si>
  <si>
    <t>4.1.2.11</t>
  </si>
  <si>
    <t>DCPF04 - REIRI OFFICE (CONTROLE CENTRAL)</t>
  </si>
  <si>
    <t>4.1.2.12</t>
  </si>
  <si>
    <t>DCPA01 - REIRI ADAPTOR INTERFACE</t>
  </si>
  <si>
    <t>4.1.2.13</t>
  </si>
  <si>
    <t>RXQ18AYM - CONDENSADORA VRV - CICLO FRIO - 20HP - 380V-3F-60HZ</t>
  </si>
  <si>
    <t>4.1.2.14</t>
  </si>
  <si>
    <t>DCS302CA61- CONTROLE REMOTO CENTRAL</t>
  </si>
  <si>
    <t>5.00</t>
  </si>
  <si>
    <t>OBRA CIVIL</t>
  </si>
  <si>
    <t>5.1</t>
  </si>
  <si>
    <t>ESQUADRIAS DE VIDRO TEMPERADO</t>
  </si>
  <si>
    <t>6.1</t>
  </si>
  <si>
    <t>DIVISÓRIAS DE VIDRO TEMPERADO</t>
  </si>
  <si>
    <t>SINAPI 102235</t>
  </si>
  <si>
    <t>6.1.1</t>
  </si>
  <si>
    <t>DIVISÓRIA FIXA EM VIDRO TEMPERADO 10 MM, SEM ABERTURA. AF_01/2021 - ESTAÇÕES DE TRABALHO. ALTURA 3,55M.</t>
  </si>
  <si>
    <t>M2</t>
  </si>
  <si>
    <t>SINAPI 102182</t>
  </si>
  <si>
    <t>PORTA PIVOTANTE DE VIDRO TEMPERADO, 90X210 CM, ESPESSURA 10 MM, INCLUSIVE ACESSÓRIOS. AF_01/2021 - ESTAÇÕES DE TRABALHO. ADEQUAR ALTURA CONFORME O PROJETO.</t>
  </si>
  <si>
    <r>
      <t>DIVISÓRIA FIXA EM </t>
    </r>
    <r>
      <rPr>
        <sz val="11"/>
        <color theme="1"/>
        <rFont val="Calibri"/>
        <family val="2"/>
        <scheme val="minor"/>
      </rPr>
      <t>VIDRO</t>
    </r>
    <r>
      <rPr>
        <sz val="10"/>
        <color rgb="FF363636"/>
        <rFont val="Segoe UI"/>
        <family val="2"/>
      </rPr>
      <t> </t>
    </r>
    <r>
      <rPr>
        <sz val="11"/>
        <color theme="1"/>
        <rFont val="Calibri"/>
        <family val="2"/>
        <scheme val="minor"/>
      </rPr>
      <t>TEMPERADO</t>
    </r>
    <r>
      <rPr>
        <sz val="10"/>
        <color rgb="FF363636"/>
        <rFont val="Segoe UI"/>
        <family val="2"/>
      </rPr>
      <t xml:space="preserve"> 10 MM, SEM ABERTURA. AF_01/2021 - FUNÇÃO DE BANDEIROLA FIXA ACIMA DAS PORTAS. ADEQUAR ALTURA CONFORME O PROJETO. </t>
    </r>
  </si>
  <si>
    <t>37,00 M² (H= 70CM. L=50CM. C 19,50M)  VERGA CAIXOTE EM MDF PRETO 18 MM  PARA ENVELOPAR VIGAS SECUNDÁRIAS. CAIXOTE DE 70CM PARA A FIXAÇÃO DAS DIVISÓRIAS DE VIDRO. CONSIDERAR CADA CHAPA DE MDF 2.750M X 1.840M (A=5,07M²). 37,00M² EQUIVALEM A 07 CHAPAS  APROXIMADAMENTE</t>
  </si>
  <si>
    <t>SINAPI 101459</t>
  </si>
  <si>
    <t>VIDRACEIRO COM ENCARGOS COMPLEMENTARES</t>
  </si>
  <si>
    <t>SINAPI 101413</t>
  </si>
  <si>
    <t>MARCENEIRO COM ENCARGOS COMPLEMENTARES</t>
  </si>
  <si>
    <t xml:space="preserve">COMPOSIÇÃO </t>
  </si>
  <si>
    <t>6.2</t>
  </si>
  <si>
    <t>PORTAS VAI-E-VEM BOXES DOS SANITÁRIOS (PVV01 - PRANCHA ARQ-10)</t>
  </si>
  <si>
    <t>SINAPI 100710</t>
  </si>
  <si>
    <t>DOBRADIÇA TIPO VAI E VEM EM LATÃO POLIDO 3". AF_12/2019</t>
  </si>
  <si>
    <t>SINAPI  94804</t>
  </si>
  <si>
    <t>PORTA DE ALUMÍNIO DE ABRIR PARA VIDRO SEM GUARNIÇÃO, 87X210CM, FIXAÇÃO COM PARAFUSOS, INCLUSIVE VIDROS - FORNECIMENTO E INSTALAÇÃO. AF_12/2019. ADAPTAR ÀS MEDIDAS DO PROJETO (1,80 X 0,60) COM CHAVE LIVRE/OCUPADO - SISTEMA VAI-E-VEM. APLICAÇÃO DE PELÍCULA BRANCA OPACA.</t>
  </si>
  <si>
    <t>SINAPI 88325</t>
  </si>
  <si>
    <t>VIDRACEIRO COM ENCARGOS COMPLEMENTARES</t>
  </si>
  <si>
    <t>5.2</t>
  </si>
  <si>
    <t>REPOSIÇÃO PONTUAL DE CARPETE, REPINTURA E REPAROS EM FORROS E  PASSAGENS EM PAREDES</t>
  </si>
  <si>
    <t>,</t>
  </si>
  <si>
    <t>14.1</t>
  </si>
  <si>
    <t>REPAROS PONTUAIS APÓS PASSAGEM DE INSTALAÇÕES (PINTURA DO FORRO, TROCA DE PLACAS DE GESSO E FORRO MINERAL, FECHAMENTO DE PASSAGENS EM DRYWALL E ALVENARIA, REPOSIÇÃO PARCIAL TRECHOS DE CARPETE (MATERIAL E MÃO-DE-OBRA)</t>
  </si>
  <si>
    <t>5.3</t>
  </si>
  <si>
    <t>ACABAMENTOS DE PISOS</t>
  </si>
  <si>
    <t>SINAPI 101727</t>
  </si>
  <si>
    <t>16.1</t>
  </si>
  <si>
    <t xml:space="preserve">PISO VINÍLICO SEMI-FLEXÍVEL EM PLACAS, PADRÃO LISO, ESPESSURA 3,2 MM, FIXADO COM COLA. AF_09/2020. EQUIVALÊNCIA NO MERCADO: RÉGUAS HETEROGÊNEAS PADRÃO MADEIRA CINZA. LOCAL: ESTAÇÕES DE TRABALHO, LOUNGE E SUAS CIRCULAÇÕES. </t>
  </si>
  <si>
    <t>5.4</t>
  </si>
  <si>
    <t>ACABAMENTOS LOUÇAS E METAIS SANITÁRIOS</t>
  </si>
  <si>
    <t>SINAPI 86941</t>
  </si>
  <si>
    <t>5.4.1</t>
  </si>
  <si>
    <t>LAVATÓRIO LOUÇA BRANCA COM COLUNA, 45 X 55CM OU EQUIVALENTE, PADRÃO MÉDIO, INCLUSO SIFÃO TIPO GARRAFA, VÁLVULA E ENGATE FLEXÍVEL DE 40CM EM METAL CROMADO, COM TORNEIRA CROMADA DE MESA, PADRÃO MÉDIO - FORNECIMENTO E INSTALAÇÃO. AF_01/2020. LOCAL: SANITÁRIOS PNE</t>
  </si>
  <si>
    <t>SINAPI 86881</t>
  </si>
  <si>
    <t>5.4.3</t>
  </si>
  <si>
    <t>SIFÃO DO TIPO GARRAFA EM METAL CROMADO 1 X 1.1/2 - FORNECIMENTO E INSTALAÇÃO. AF_01/2020. LOCAL: SANITÁRIOS DOS FUNCIONÁRIOS</t>
  </si>
  <si>
    <t>SINAPI 100867</t>
  </si>
  <si>
    <t>5.4.4</t>
  </si>
  <si>
    <t>BARRA DE APOIO RETA, EM ACO INOX POLIDO, COMPRIMENTO 70 CM, FIXADA NA PAREDE - FORNECIMENTO E INSTALAÇÃO. AF_01/2020</t>
  </si>
  <si>
    <t>5.5</t>
  </si>
  <si>
    <t>ACÚSTICA AUDITÓRIO E ESTAÇÕES | BAFFLES E PAINEL COMPOSTO</t>
  </si>
  <si>
    <t>18.3</t>
  </si>
  <si>
    <t>BAFFLES ACÚSTICOS (ESTAÇÕES DE TRABALHO E AUDITÓRIO)</t>
  </si>
  <si>
    <t>18.4</t>
  </si>
  <si>
    <r>
      <t xml:space="preserve">PAINEL ACÚSTICO EM CHAPA PERFURADA MDF PARA REVESTIMENTO DE PAREDE/TETO PREENCHIDO COM LÃ DE PET, ESTRUTURA DE 15MM E TAMPO EM MDF 6MM. PLACAS COM LARGURA DE 1165MM, COMPRIMENTO VARIÁVEL PROFUNDIDADE 40MM  SISTEMA DE ENCAIXE ATRAVÉS DE TARUGOS DE MADEIRA FIXOS À SUPERFÍCIE E PARAFUSOS NA LATERAL DA ESTRUTURA. ACABAMENTO EM MELAMINA TEXTURIZADA COR BRANCO. FORNECIMENTO E INSTALAÇÃO. 
 | </t>
    </r>
    <r>
      <rPr>
        <b/>
        <sz val="10.5"/>
        <rFont val="Tw Cen MT"/>
        <family val="2"/>
      </rPr>
      <t>AMBIENTE</t>
    </r>
    <r>
      <rPr>
        <sz val="10.5"/>
        <rFont val="Tw Cen MT"/>
        <family val="2"/>
      </rPr>
      <t>: AUDITÓRIO.PAREDES LATERAIS. DETALHAMENTO NO PROJETO EXECUTIVO.</t>
    </r>
  </si>
  <si>
    <t>5.6</t>
  </si>
  <si>
    <t>SERRALHERIA</t>
  </si>
  <si>
    <t>ESTANTES EM VERGALHÕES AÇO CA-50 8MM SOLDÁVEL NERVURADO, SOLDA ESPECIAL, ACABAMENTO EM TINTA EPÓXI BRANCO FOSCO - FORNECIMENTO E INSTALAÇÃO - CADA 4,00M X 2,40. SUPORTE PARA VEGETAÇÃO EM VASOS.</t>
  </si>
  <si>
    <t xml:space="preserve">UNID. </t>
  </si>
  <si>
    <t>5.7</t>
  </si>
  <si>
    <t>MARCENARIA</t>
  </si>
  <si>
    <t>24.7</t>
  </si>
  <si>
    <r>
      <rPr>
        <b/>
        <sz val="11"/>
        <color theme="1"/>
        <rFont val="Tw Cen MT"/>
        <family val="2"/>
      </rPr>
      <t>ARMÁRIOS DE APOIO DAS ESTAÇÃO DE TRABALHO:</t>
    </r>
    <r>
      <rPr>
        <sz val="11"/>
        <color theme="1"/>
        <rFont val="Tw Cen MT"/>
        <family val="2"/>
      </rPr>
      <t xml:space="preserve"> BALCÕES REFORÇADOS COM METALON,  PORTAS DE GIRO E PRATELEIRAS INTERNAS – MELAMINA TXT BRANCO. CADA 4,00 X 0,40M (SERÃO SUPORTES PARA AS ESTANTES DE VERGALHÕES)</t>
    </r>
  </si>
  <si>
    <t>5.8</t>
  </si>
  <si>
    <t>GESTÃO DE RESÍDUOS SÓLIDOS NA CONSTRUÇÃO CIVIL</t>
  </si>
  <si>
    <t>CONAMA 307/02  |  ABNT NBR 15112/04  |  SEMA-GDF</t>
  </si>
  <si>
    <t>GERENCIAMENTO INTEGRADO DE RESÍDUOS SÓLIDOS</t>
  </si>
  <si>
    <t>26.01</t>
  </si>
  <si>
    <t xml:space="preserve">MAPEAMENTO DE RESÍDUOS  </t>
  </si>
  <si>
    <t>VB</t>
  </si>
  <si>
    <t>26.02</t>
  </si>
  <si>
    <t xml:space="preserve">CLASSIFICAÇÃO | Classificar de acordo com a Resolução CONAMA 307/2002, descrever procedimento a serem adotados para a quantificação diária dos resíduos por classe/tipo.
</t>
  </si>
  <si>
    <t>26.03</t>
  </si>
  <si>
    <t>FLUXO NO CANTEIRO | Minimização ou Reutilização dos resíduos Descrever os procedimentos a serem adotados para minimização dos resíduos ou principais aplicações da Reciclagem de Resíduos Sólidos.</t>
  </si>
  <si>
    <t>26.04</t>
  </si>
  <si>
    <t xml:space="preserve">TRANSPORTE E ARMAZENAMENTO | Identificar os responsáveis pela execução da coleta e do transporte dos resíduos gerados na obra, os tipos de veículos e equipamentos a serem utilizados.
</t>
  </si>
  <si>
    <t>26.05</t>
  </si>
  <si>
    <t>COLETA  Locais de entrega voluntaria de pequenos volumes de entulho (até 1 m),grandeS objetos e resíduos recicláveis .</t>
  </si>
  <si>
    <t>26.06</t>
  </si>
  <si>
    <t xml:space="preserve">DESTINAÇÃO FINAL  Indicar a unidade de destinação para cada classe/tipo de resíduo </t>
  </si>
  <si>
    <t>5.9</t>
  </si>
  <si>
    <t>SERVIÇOS COMPLEMENTARES</t>
  </si>
  <si>
    <t>9537 - SINAPI</t>
  </si>
  <si>
    <t>27.01</t>
  </si>
  <si>
    <t>LIMPEZA FINAL DA OBRA</t>
  </si>
  <si>
    <t>27.02</t>
  </si>
  <si>
    <t>DESMOBILIZAÇÃO DA OBRA</t>
  </si>
  <si>
    <t xml:space="preserve">TOTAL COM BDI (R$) </t>
  </si>
  <si>
    <t>BDI DE 20,00%</t>
  </si>
  <si>
    <t xml:space="preserve">TOTAL SEM BDI (R$) </t>
  </si>
  <si>
    <t>(SEISCENTOS E SETENTA E SETE MIL, QUATROCENTOS E TRINTA E CINCO REAIS E QUARENTA E DOIS CENTAVOS)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</si>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</sst>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R$-416]\ #,##0.00;[Red]\-[$R$-416]\ #,##0.00"/>
    <numFmt numFmtId="167" formatCode="#,##0.00\ ;&quot; (&quot;#,##0.00\);&quot; -&quot;#\ ;@\ "/>
    <numFmt numFmtId="168" formatCode="_(* #,##0.0000_);_(* \(#,##0.0000\);_(* &quot;-&quot;??_);_(@_)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name val="Tw Cen MT"/>
      <family val="2"/>
    </font>
    <font>
      <sz val="11"/>
      <color indexed="8"/>
      <name val="Tw Cen MT"/>
      <family val="2"/>
    </font>
    <font>
      <b/>
      <sz val="11"/>
      <name val="Tw Cen MT"/>
      <family val="2"/>
    </font>
    <font>
      <b/>
      <sz val="11"/>
      <color theme="0"/>
      <name val="Tw Cen MT"/>
      <family val="2"/>
    </font>
    <font>
      <sz val="11"/>
      <color theme="0"/>
      <name val="Tw Cen MT"/>
      <family val="2"/>
    </font>
    <font>
      <b/>
      <sz val="16"/>
      <color theme="0"/>
      <name val="Tw Cen MT"/>
      <family val="2"/>
    </font>
    <font>
      <b/>
      <sz val="14"/>
      <color theme="0"/>
      <name val="Tw Cen MT"/>
      <family val="2"/>
    </font>
    <font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0"/>
      <name val="MS Sans Serif"/>
    </font>
    <font>
      <sz val="12"/>
      <name val="Arial"/>
      <family val="2"/>
    </font>
    <font>
      <sz val="12"/>
      <name val="Tw Cen MT"/>
      <family val="2"/>
    </font>
    <font>
      <b/>
      <sz val="12"/>
      <color theme="0"/>
      <name val="Tw Cen MT"/>
      <family val="2"/>
    </font>
    <font>
      <b/>
      <sz val="12"/>
      <name val="Tw Cen MT"/>
      <family val="2"/>
    </font>
    <font>
      <b/>
      <sz val="12"/>
      <color theme="4" tint="-0.249977111117893"/>
      <name val="Tw Cen MT"/>
      <family val="2"/>
    </font>
    <font>
      <b/>
      <sz val="12"/>
      <color theme="9" tint="-0.499984740745262"/>
      <name val="Tw Cen MT"/>
      <family val="2"/>
    </font>
    <font>
      <sz val="12"/>
      <color theme="0"/>
      <name val="Tw Cen MT"/>
      <family val="2"/>
    </font>
    <font>
      <sz val="14"/>
      <color theme="0"/>
      <name val="Tw Cen MT"/>
      <family val="2"/>
    </font>
    <font>
      <b/>
      <sz val="16"/>
      <color theme="0" tint="-0.499984740745262"/>
      <name val="Tw Cen MT"/>
      <family val="2"/>
    </font>
    <font>
      <b/>
      <sz val="8"/>
      <color theme="0"/>
      <name val="Tw Cen MT"/>
      <family val="2"/>
    </font>
    <font>
      <sz val="10"/>
      <color theme="0"/>
      <name val="Tw Cen MT"/>
      <family val="2"/>
    </font>
    <font>
      <sz val="22"/>
      <name val="Arial"/>
      <family val="2"/>
    </font>
    <font>
      <sz val="22"/>
      <name val="Tw Cen MT"/>
      <family val="2"/>
    </font>
    <font>
      <b/>
      <sz val="22"/>
      <name val="Tw Cen MT"/>
      <family val="2"/>
    </font>
    <font>
      <b/>
      <sz val="18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9"/>
      <color indexed="8"/>
      <name val="Tw Cen MT"/>
      <family val="2"/>
    </font>
    <font>
      <sz val="10"/>
      <color indexed="8"/>
      <name val="Tw Cen MT"/>
      <family val="2"/>
    </font>
    <font>
      <b/>
      <sz val="12"/>
      <color indexed="8"/>
      <name val="Tw Cen MT"/>
      <family val="2"/>
    </font>
    <font>
      <b/>
      <sz val="10"/>
      <color indexed="8"/>
      <name val="Tw Cen MT"/>
      <family val="2"/>
    </font>
    <font>
      <b/>
      <sz val="9"/>
      <color indexed="8"/>
      <name val="Tw Cen MT"/>
      <family val="2"/>
    </font>
    <font>
      <sz val="12"/>
      <color indexed="8"/>
      <name val="Tw Cen MT"/>
      <family val="2"/>
    </font>
    <font>
      <b/>
      <sz val="9"/>
      <color theme="0"/>
      <name val="Tw Cen MT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w Cen MT"/>
      <family val="2"/>
    </font>
    <font>
      <sz val="10.5"/>
      <color rgb="FF000000"/>
      <name val="Tw Cen MT"/>
      <family val="2"/>
    </font>
    <font>
      <sz val="10.5"/>
      <color theme="1"/>
      <name val="Tw Cen MT"/>
      <family val="2"/>
    </font>
    <font>
      <sz val="10.5"/>
      <name val="Tw Cen MT"/>
      <family val="2"/>
    </font>
    <font>
      <sz val="10.5"/>
      <color indexed="8"/>
      <name val="Tw Cen MT"/>
      <family val="2"/>
    </font>
    <font>
      <b/>
      <sz val="10.5"/>
      <name val="Tw Cen MT"/>
      <family val="2"/>
    </font>
    <font>
      <b/>
      <sz val="10.5"/>
      <color rgb="FF000000"/>
      <name val="Tw Cen MT"/>
      <family val="2"/>
    </font>
    <font>
      <b/>
      <sz val="10.5"/>
      <color indexed="8"/>
      <name val="Tw Cen MT"/>
      <family val="2"/>
    </font>
    <font>
      <sz val="10"/>
      <color rgb="FF363636"/>
      <name val="Segoe UI"/>
      <family val="2"/>
    </font>
    <font>
      <sz val="16"/>
      <color theme="0"/>
      <name val="Tw Cen MT"/>
      <family val="2"/>
    </font>
    <font>
      <b/>
      <sz val="16"/>
      <color theme="0"/>
      <name val="Calibri"/>
      <family val="2"/>
      <scheme val="minor"/>
    </font>
    <font>
      <sz val="16"/>
      <color theme="0"/>
      <name val="Arial"/>
      <family val="2"/>
    </font>
    <font>
      <b/>
      <sz val="24"/>
      <color theme="0"/>
      <name val="Tw Cen MT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rgb="FFF4FB97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1" tint="0.34998626667073579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26"/>
      </patternFill>
    </fill>
    <fill>
      <patternFill patternType="solid">
        <fgColor theme="8" tint="-0.499984740745262"/>
        <bgColor indexed="41"/>
      </patternFill>
    </fill>
    <fill>
      <patternFill patternType="solid">
        <fgColor rgb="FF004442"/>
        <bgColor indexed="64"/>
      </patternFill>
    </fill>
    <fill>
      <patternFill patternType="solid">
        <fgColor rgb="FF004442"/>
        <bgColor indexed="26"/>
      </patternFill>
    </fill>
    <fill>
      <patternFill patternType="solid">
        <fgColor rgb="FF004442"/>
        <bgColor indexed="41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7" fillId="0" borderId="0"/>
    <xf numFmtId="0" fontId="48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/>
    <xf numFmtId="165" fontId="4" fillId="0" borderId="0" xfId="3" applyFont="1"/>
    <xf numFmtId="0" fontId="19" fillId="4" borderId="0" xfId="6" applyFill="1"/>
    <xf numFmtId="0" fontId="22" fillId="4" borderId="0" xfId="6" applyFont="1" applyFill="1"/>
    <xf numFmtId="166" fontId="22" fillId="4" borderId="0" xfId="6" applyNumberFormat="1" applyFont="1" applyFill="1"/>
    <xf numFmtId="49" fontId="22" fillId="4" borderId="0" xfId="6" applyNumberFormat="1" applyFont="1" applyFill="1"/>
    <xf numFmtId="0" fontId="5" fillId="4" borderId="0" xfId="6" applyFont="1" applyFill="1"/>
    <xf numFmtId="0" fontId="9" fillId="4" borderId="0" xfId="6" applyFont="1" applyFill="1"/>
    <xf numFmtId="10" fontId="9" fillId="4" borderId="0" xfId="6" applyNumberFormat="1" applyFont="1" applyFill="1"/>
    <xf numFmtId="0" fontId="22" fillId="5" borderId="6" xfId="6" applyFont="1" applyFill="1" applyBorder="1"/>
    <xf numFmtId="0" fontId="22" fillId="5" borderId="3" xfId="6" applyFont="1" applyFill="1" applyBorder="1"/>
    <xf numFmtId="0" fontId="25" fillId="9" borderId="0" xfId="6" applyFont="1" applyFill="1"/>
    <xf numFmtId="0" fontId="23" fillId="5" borderId="0" xfId="6" applyFont="1" applyFill="1"/>
    <xf numFmtId="0" fontId="23" fillId="5" borderId="5" xfId="6" applyFont="1" applyFill="1" applyBorder="1"/>
    <xf numFmtId="49" fontId="25" fillId="6" borderId="4" xfId="6" applyNumberFormat="1" applyFont="1" applyFill="1" applyBorder="1" applyAlignment="1">
      <alignment vertical="center"/>
    </xf>
    <xf numFmtId="49" fontId="25" fillId="6" borderId="0" xfId="6" applyNumberFormat="1" applyFont="1" applyFill="1" applyAlignment="1">
      <alignment vertical="center"/>
    </xf>
    <xf numFmtId="49" fontId="24" fillId="6" borderId="5" xfId="6" applyNumberFormat="1" applyFont="1" applyFill="1" applyBorder="1" applyAlignment="1">
      <alignment vertical="center"/>
    </xf>
    <xf numFmtId="16" fontId="25" fillId="9" borderId="5" xfId="6" applyNumberFormat="1" applyFont="1" applyFill="1" applyBorder="1" applyAlignment="1">
      <alignment horizontal="left"/>
    </xf>
    <xf numFmtId="10" fontId="25" fillId="5" borderId="5" xfId="6" applyNumberFormat="1" applyFont="1" applyFill="1" applyBorder="1" applyAlignment="1">
      <alignment horizontal="left"/>
    </xf>
    <xf numFmtId="9" fontId="23" fillId="6" borderId="13" xfId="7" applyFont="1" applyFill="1" applyBorder="1" applyAlignment="1">
      <alignment horizontal="center" vertical="center" wrapText="1"/>
    </xf>
    <xf numFmtId="9" fontId="25" fillId="7" borderId="11" xfId="7" applyFont="1" applyFill="1" applyBorder="1" applyAlignment="1">
      <alignment horizontal="center" vertical="center" wrapText="1"/>
    </xf>
    <xf numFmtId="167" fontId="23" fillId="8" borderId="9" xfId="8" applyNumberFormat="1" applyFont="1" applyFill="1" applyBorder="1" applyAlignment="1">
      <alignment horizontal="center"/>
    </xf>
    <xf numFmtId="10" fontId="25" fillId="5" borderId="1" xfId="6" applyNumberFormat="1" applyFont="1" applyFill="1" applyBorder="1" applyAlignment="1">
      <alignment horizontal="center"/>
    </xf>
    <xf numFmtId="167" fontId="23" fillId="8" borderId="12" xfId="8" applyNumberFormat="1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 vertical="center" wrapText="1"/>
    </xf>
    <xf numFmtId="49" fontId="14" fillId="11" borderId="15" xfId="0" applyNumberFormat="1" applyFont="1" applyFill="1" applyBorder="1" applyAlignment="1">
      <alignment horizontal="left" vertical="center" wrapText="1"/>
    </xf>
    <xf numFmtId="0" fontId="12" fillId="11" borderId="15" xfId="0" applyFont="1" applyFill="1" applyBorder="1" applyAlignment="1">
      <alignment horizontal="center" vertical="center" wrapText="1"/>
    </xf>
    <xf numFmtId="165" fontId="12" fillId="11" borderId="15" xfId="3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center" vertical="center" wrapText="1"/>
    </xf>
    <xf numFmtId="165" fontId="16" fillId="3" borderId="15" xfId="3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49" fontId="14" fillId="10" borderId="15" xfId="0" applyNumberFormat="1" applyFont="1" applyFill="1" applyBorder="1" applyAlignment="1">
      <alignment horizontal="left" vertical="center" wrapText="1"/>
    </xf>
    <xf numFmtId="0" fontId="12" fillId="10" borderId="15" xfId="0" applyFont="1" applyFill="1" applyBorder="1" applyAlignment="1">
      <alignment horizontal="center" vertical="center" wrapText="1"/>
    </xf>
    <xf numFmtId="165" fontId="12" fillId="10" borderId="15" xfId="3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165" fontId="12" fillId="0" borderId="15" xfId="3" applyFont="1" applyFill="1" applyBorder="1" applyAlignment="1">
      <alignment horizontal="center" vertical="center" wrapText="1"/>
    </xf>
    <xf numFmtId="165" fontId="13" fillId="0" borderId="15" xfId="3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0" fontId="13" fillId="12" borderId="15" xfId="0" applyFont="1" applyFill="1" applyBorder="1" applyAlignment="1">
      <alignment horizontal="center" vertical="center" wrapText="1"/>
    </xf>
    <xf numFmtId="49" fontId="11" fillId="12" borderId="15" xfId="0" applyNumberFormat="1" applyFont="1" applyFill="1" applyBorder="1" applyAlignment="1">
      <alignment horizontal="left" vertical="center" wrapText="1"/>
    </xf>
    <xf numFmtId="0" fontId="11" fillId="12" borderId="15" xfId="0" applyFont="1" applyFill="1" applyBorder="1" applyAlignment="1">
      <alignment horizontal="center" vertical="center" wrapText="1"/>
    </xf>
    <xf numFmtId="165" fontId="12" fillId="12" borderId="15" xfId="3" applyFont="1" applyFill="1" applyBorder="1" applyAlignment="1">
      <alignment horizontal="center" vertical="center" wrapText="1"/>
    </xf>
    <xf numFmtId="165" fontId="13" fillId="12" borderId="15" xfId="3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wrapText="1"/>
    </xf>
    <xf numFmtId="49" fontId="16" fillId="5" borderId="15" xfId="0" applyNumberFormat="1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left" wrapText="1"/>
    </xf>
    <xf numFmtId="49" fontId="10" fillId="0" borderId="15" xfId="0" applyNumberFormat="1" applyFont="1" applyBorder="1" applyAlignment="1">
      <alignment horizontal="center" wrapText="1"/>
    </xf>
    <xf numFmtId="2" fontId="14" fillId="0" borderId="15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165" fontId="0" fillId="0" borderId="0" xfId="0" applyNumberFormat="1"/>
    <xf numFmtId="0" fontId="23" fillId="9" borderId="0" xfId="6" applyFont="1" applyFill="1" applyAlignment="1">
      <alignment horizontal="left"/>
    </xf>
    <xf numFmtId="0" fontId="25" fillId="14" borderId="17" xfId="6" applyFont="1" applyFill="1" applyBorder="1" applyAlignment="1">
      <alignment horizontal="left"/>
    </xf>
    <xf numFmtId="0" fontId="26" fillId="14" borderId="17" xfId="6" applyFont="1" applyFill="1" applyBorder="1" applyAlignment="1">
      <alignment horizontal="left"/>
    </xf>
    <xf numFmtId="0" fontId="27" fillId="14" borderId="17" xfId="6" applyFont="1" applyFill="1" applyBorder="1" applyAlignment="1">
      <alignment horizontal="left"/>
    </xf>
    <xf numFmtId="16" fontId="23" fillId="9" borderId="17" xfId="6" applyNumberFormat="1" applyFont="1" applyFill="1" applyBorder="1" applyAlignment="1">
      <alignment horizontal="center"/>
    </xf>
    <xf numFmtId="10" fontId="23" fillId="9" borderId="17" xfId="6" applyNumberFormat="1" applyFont="1" applyFill="1" applyBorder="1" applyAlignment="1">
      <alignment horizontal="center" vertical="center"/>
    </xf>
    <xf numFmtId="49" fontId="25" fillId="16" borderId="17" xfId="6" applyNumberFormat="1" applyFont="1" applyFill="1" applyBorder="1" applyAlignment="1">
      <alignment horizontal="center" vertical="center" wrapText="1"/>
    </xf>
    <xf numFmtId="167" fontId="23" fillId="8" borderId="0" xfId="8" applyNumberFormat="1" applyFont="1" applyFill="1" applyBorder="1" applyAlignment="1">
      <alignment horizontal="center"/>
    </xf>
    <xf numFmtId="167" fontId="23" fillId="8" borderId="14" xfId="8" applyNumberFormat="1" applyFont="1" applyFill="1" applyBorder="1" applyAlignment="1">
      <alignment horizontal="center"/>
    </xf>
    <xf numFmtId="0" fontId="25" fillId="14" borderId="21" xfId="6" applyFont="1" applyFill="1" applyBorder="1" applyAlignment="1">
      <alignment horizontal="left"/>
    </xf>
    <xf numFmtId="49" fontId="25" fillId="16" borderId="22" xfId="6" applyNumberFormat="1" applyFont="1" applyFill="1" applyBorder="1" applyAlignment="1">
      <alignment horizontal="center" vertical="center" wrapText="1"/>
    </xf>
    <xf numFmtId="49" fontId="24" fillId="15" borderId="17" xfId="6" applyNumberFormat="1" applyFont="1" applyFill="1" applyBorder="1" applyAlignment="1">
      <alignment horizontal="center" vertical="center" wrapText="1"/>
    </xf>
    <xf numFmtId="0" fontId="24" fillId="15" borderId="17" xfId="6" applyFont="1" applyFill="1" applyBorder="1" applyAlignment="1">
      <alignment vertical="center" wrapText="1"/>
    </xf>
    <xf numFmtId="166" fontId="24" fillId="15" borderId="17" xfId="6" applyNumberFormat="1" applyFont="1" applyFill="1" applyBorder="1" applyAlignment="1">
      <alignment horizontal="center" vertical="center" wrapText="1"/>
    </xf>
    <xf numFmtId="49" fontId="23" fillId="13" borderId="17" xfId="6" applyNumberFormat="1" applyFont="1" applyFill="1" applyBorder="1"/>
    <xf numFmtId="16" fontId="18" fillId="13" borderId="17" xfId="6" applyNumberFormat="1" applyFont="1" applyFill="1" applyBorder="1" applyAlignment="1">
      <alignment horizontal="right"/>
    </xf>
    <xf numFmtId="0" fontId="4" fillId="0" borderId="0" xfId="9"/>
    <xf numFmtId="0" fontId="4" fillId="0" borderId="0" xfId="9" applyProtection="1">
      <protection locked="0"/>
    </xf>
    <xf numFmtId="0" fontId="33" fillId="0" borderId="0" xfId="9" applyFont="1"/>
    <xf numFmtId="0" fontId="34" fillId="0" borderId="0" xfId="9" applyFont="1"/>
    <xf numFmtId="0" fontId="34" fillId="0" borderId="9" xfId="9" applyFont="1" applyBorder="1"/>
    <xf numFmtId="0" fontId="35" fillId="0" borderId="0" xfId="9" applyFont="1"/>
    <xf numFmtId="0" fontId="35" fillId="0" borderId="9" xfId="9" applyFont="1" applyBorder="1"/>
    <xf numFmtId="0" fontId="36" fillId="0" borderId="0" xfId="9" applyFont="1" applyProtection="1">
      <protection locked="0"/>
    </xf>
    <xf numFmtId="0" fontId="36" fillId="0" borderId="9" xfId="9" applyFont="1" applyBorder="1" applyProtection="1">
      <protection locked="0"/>
    </xf>
    <xf numFmtId="0" fontId="37" fillId="0" borderId="0" xfId="9" applyFont="1" applyAlignment="1">
      <alignment horizontal="center" vertical="center" wrapText="1"/>
    </xf>
    <xf numFmtId="0" fontId="38" fillId="0" borderId="9" xfId="9" applyFont="1" applyBorder="1"/>
    <xf numFmtId="0" fontId="37" fillId="11" borderId="0" xfId="9" applyFont="1" applyFill="1" applyAlignment="1">
      <alignment horizontal="center" vertical="center" wrapText="1"/>
    </xf>
    <xf numFmtId="0" fontId="38" fillId="11" borderId="9" xfId="9" applyFont="1" applyFill="1" applyBorder="1"/>
    <xf numFmtId="0" fontId="38" fillId="11" borderId="0" xfId="9" applyFont="1" applyFill="1" applyAlignment="1">
      <alignment horizontal="center" vertical="center" wrapText="1"/>
    </xf>
    <xf numFmtId="0" fontId="38" fillId="11" borderId="9" xfId="9" applyFont="1" applyFill="1" applyBorder="1" applyAlignment="1">
      <alignment horizontal="center" vertical="center" wrapText="1"/>
    </xf>
    <xf numFmtId="0" fontId="38" fillId="0" borderId="0" xfId="9" applyFont="1" applyAlignment="1">
      <alignment horizontal="center" vertical="center" wrapText="1"/>
    </xf>
    <xf numFmtId="0" fontId="38" fillId="0" borderId="9" xfId="9" applyFont="1" applyBorder="1" applyAlignment="1">
      <alignment horizontal="center" vertical="center" wrapText="1"/>
    </xf>
    <xf numFmtId="0" fontId="40" fillId="0" borderId="0" xfId="9" applyFont="1"/>
    <xf numFmtId="0" fontId="41" fillId="0" borderId="0" xfId="9" applyFont="1"/>
    <xf numFmtId="0" fontId="41" fillId="0" borderId="0" xfId="9" applyFont="1" applyAlignment="1">
      <alignment horizontal="left"/>
    </xf>
    <xf numFmtId="0" fontId="41" fillId="0" borderId="0" xfId="9" applyFont="1" applyAlignment="1">
      <alignment vertical="center"/>
    </xf>
    <xf numFmtId="0" fontId="43" fillId="0" borderId="0" xfId="9" applyFont="1"/>
    <xf numFmtId="0" fontId="43" fillId="0" borderId="0" xfId="9" applyFont="1" applyAlignment="1">
      <alignment horizontal="left"/>
    </xf>
    <xf numFmtId="0" fontId="41" fillId="0" borderId="0" xfId="9" applyFont="1" applyAlignment="1">
      <alignment vertical="center" wrapText="1"/>
    </xf>
    <xf numFmtId="0" fontId="44" fillId="0" borderId="9" xfId="9" applyFont="1" applyBorder="1" applyAlignment="1">
      <alignment horizontal="center"/>
    </xf>
    <xf numFmtId="0" fontId="43" fillId="0" borderId="8" xfId="9" applyFont="1" applyBorder="1"/>
    <xf numFmtId="0" fontId="44" fillId="0" borderId="9" xfId="9" applyFont="1" applyBorder="1" applyAlignment="1">
      <alignment horizontal="left"/>
    </xf>
    <xf numFmtId="165" fontId="41" fillId="0" borderId="8" xfId="11" applyFont="1" applyFill="1" applyBorder="1" applyAlignment="1" applyProtection="1">
      <alignment horizontal="left" vertical="center" wrapText="1"/>
    </xf>
    <xf numFmtId="0" fontId="40" fillId="0" borderId="9" xfId="9" applyFont="1" applyBorder="1" applyAlignment="1">
      <alignment horizontal="left"/>
    </xf>
    <xf numFmtId="0" fontId="41" fillId="0" borderId="8" xfId="11" applyNumberFormat="1" applyFont="1" applyFill="1" applyBorder="1" applyAlignment="1" applyProtection="1">
      <alignment horizontal="left" vertical="center" wrapText="1"/>
    </xf>
    <xf numFmtId="0" fontId="40" fillId="0" borderId="9" xfId="9" applyFont="1" applyBorder="1"/>
    <xf numFmtId="0" fontId="41" fillId="0" borderId="0" xfId="11" applyNumberFormat="1" applyFont="1" applyFill="1" applyBorder="1" applyAlignment="1" applyProtection="1">
      <alignment vertical="center" wrapText="1"/>
    </xf>
    <xf numFmtId="0" fontId="41" fillId="0" borderId="8" xfId="11" applyNumberFormat="1" applyFont="1" applyFill="1" applyBorder="1" applyAlignment="1" applyProtection="1">
      <alignment vertical="center" wrapText="1"/>
    </xf>
    <xf numFmtId="165" fontId="41" fillId="0" borderId="0" xfId="11" applyFont="1" applyBorder="1" applyProtection="1"/>
    <xf numFmtId="165" fontId="41" fillId="0" borderId="0" xfId="11" applyFont="1" applyBorder="1" applyAlignment="1" applyProtection="1">
      <alignment horizontal="left"/>
    </xf>
    <xf numFmtId="0" fontId="41" fillId="0" borderId="8" xfId="9" applyFont="1" applyBorder="1" applyAlignment="1">
      <alignment horizontal="left"/>
    </xf>
    <xf numFmtId="0" fontId="38" fillId="0" borderId="8" xfId="9" applyFont="1" applyBorder="1" applyAlignment="1">
      <alignment horizontal="center" vertical="center"/>
    </xf>
    <xf numFmtId="165" fontId="37" fillId="0" borderId="8" xfId="11" applyFont="1" applyFill="1" applyBorder="1" applyAlignment="1" applyProtection="1">
      <alignment horizontal="center" vertical="center"/>
    </xf>
    <xf numFmtId="0" fontId="40" fillId="0" borderId="10" xfId="9" applyFont="1" applyBorder="1"/>
    <xf numFmtId="165" fontId="37" fillId="0" borderId="7" xfId="11" applyFont="1" applyFill="1" applyBorder="1" applyAlignment="1" applyProtection="1">
      <alignment horizontal="center" vertical="center"/>
    </xf>
    <xf numFmtId="165" fontId="41" fillId="0" borderId="0" xfId="11" applyFont="1" applyProtection="1"/>
    <xf numFmtId="165" fontId="41" fillId="0" borderId="0" xfId="11" applyFont="1" applyAlignment="1" applyProtection="1">
      <alignment horizontal="left"/>
    </xf>
    <xf numFmtId="0" fontId="38" fillId="17" borderId="9" xfId="9" applyFont="1" applyFill="1" applyBorder="1" applyAlignment="1">
      <alignment horizontal="center" vertical="center" wrapText="1"/>
    </xf>
    <xf numFmtId="0" fontId="38" fillId="17" borderId="0" xfId="9" applyFont="1" applyFill="1" applyAlignment="1">
      <alignment horizontal="center" vertical="center" wrapText="1"/>
    </xf>
    <xf numFmtId="0" fontId="4" fillId="18" borderId="0" xfId="9" applyFill="1"/>
    <xf numFmtId="0" fontId="15" fillId="17" borderId="0" xfId="0" applyFont="1" applyFill="1" applyAlignment="1">
      <alignment horizontal="left" vertical="center" wrapText="1"/>
    </xf>
    <xf numFmtId="0" fontId="16" fillId="17" borderId="0" xfId="0" applyFont="1" applyFill="1" applyAlignment="1">
      <alignment horizontal="left" vertical="center" wrapText="1"/>
    </xf>
    <xf numFmtId="2" fontId="16" fillId="17" borderId="0" xfId="0" applyNumberFormat="1" applyFont="1" applyFill="1" applyAlignment="1">
      <alignment horizontal="left" vertical="center" wrapText="1"/>
    </xf>
    <xf numFmtId="0" fontId="16" fillId="17" borderId="0" xfId="0" applyFont="1" applyFill="1"/>
    <xf numFmtId="49" fontId="16" fillId="17" borderId="0" xfId="0" applyNumberFormat="1" applyFont="1" applyFill="1" applyAlignment="1">
      <alignment horizontal="center" vertical="center" wrapText="1"/>
    </xf>
    <xf numFmtId="16" fontId="24" fillId="19" borderId="17" xfId="6" applyNumberFormat="1" applyFont="1" applyFill="1" applyBorder="1" applyAlignment="1">
      <alignment horizontal="center"/>
    </xf>
    <xf numFmtId="10" fontId="24" fillId="19" borderId="17" xfId="6" applyNumberFormat="1" applyFont="1" applyFill="1" applyBorder="1" applyAlignment="1">
      <alignment horizontal="center" vertical="center"/>
    </xf>
    <xf numFmtId="10" fontId="24" fillId="17" borderId="17" xfId="6" applyNumberFormat="1" applyFont="1" applyFill="1" applyBorder="1" applyAlignment="1">
      <alignment horizontal="center"/>
    </xf>
    <xf numFmtId="10" fontId="24" fillId="17" borderId="21" xfId="6" applyNumberFormat="1" applyFont="1" applyFill="1" applyBorder="1" applyAlignment="1">
      <alignment horizontal="center"/>
    </xf>
    <xf numFmtId="166" fontId="24" fillId="20" borderId="17" xfId="6" applyNumberFormat="1" applyFont="1" applyFill="1" applyBorder="1" applyAlignment="1">
      <alignment horizontal="center" vertical="center" wrapText="1"/>
    </xf>
    <xf numFmtId="166" fontId="24" fillId="20" borderId="22" xfId="6" applyNumberFormat="1" applyFont="1" applyFill="1" applyBorder="1" applyAlignment="1">
      <alignment horizontal="center" vertical="center" wrapText="1"/>
    </xf>
    <xf numFmtId="166" fontId="24" fillId="20" borderId="17" xfId="6" applyNumberFormat="1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165" fontId="12" fillId="5" borderId="15" xfId="3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165" fontId="13" fillId="5" borderId="15" xfId="3" applyFont="1" applyFill="1" applyBorder="1" applyAlignment="1">
      <alignment horizontal="center" vertical="center" wrapText="1"/>
    </xf>
    <xf numFmtId="49" fontId="12" fillId="5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65" fontId="12" fillId="0" borderId="15" xfId="3" applyFont="1" applyFill="1" applyBorder="1" applyAlignment="1">
      <alignment horizontal="left" vertical="center" wrapText="1"/>
    </xf>
    <xf numFmtId="49" fontId="23" fillId="16" borderId="17" xfId="6" applyNumberFormat="1" applyFont="1" applyFill="1" applyBorder="1" applyAlignment="1">
      <alignment horizontal="left" vertical="center"/>
    </xf>
    <xf numFmtId="49" fontId="25" fillId="16" borderId="4" xfId="6" applyNumberFormat="1" applyFont="1" applyFill="1" applyBorder="1" applyAlignment="1">
      <alignment vertical="center"/>
    </xf>
    <xf numFmtId="49" fontId="23" fillId="14" borderId="4" xfId="6" applyNumberFormat="1" applyFont="1" applyFill="1" applyBorder="1"/>
    <xf numFmtId="0" fontId="19" fillId="10" borderId="0" xfId="6" applyFill="1"/>
    <xf numFmtId="166" fontId="24" fillId="16" borderId="17" xfId="6" applyNumberFormat="1" applyFont="1" applyFill="1" applyBorder="1" applyAlignment="1">
      <alignment horizontal="center" vertical="center" wrapText="1"/>
    </xf>
    <xf numFmtId="166" fontId="24" fillId="16" borderId="17" xfId="6" applyNumberFormat="1" applyFont="1" applyFill="1" applyBorder="1" applyAlignment="1">
      <alignment horizontal="center" vertical="center"/>
    </xf>
    <xf numFmtId="0" fontId="28" fillId="5" borderId="36" xfId="6" applyFont="1" applyFill="1" applyBorder="1"/>
    <xf numFmtId="0" fontId="28" fillId="5" borderId="0" xfId="6" applyFont="1" applyFill="1"/>
    <xf numFmtId="0" fontId="28" fillId="5" borderId="37" xfId="6" applyFont="1" applyFill="1" applyBorder="1"/>
    <xf numFmtId="0" fontId="28" fillId="5" borderId="38" xfId="6" applyFont="1" applyFill="1" applyBorder="1"/>
    <xf numFmtId="16" fontId="25" fillId="14" borderId="22" xfId="6" applyNumberFormat="1" applyFont="1" applyFill="1" applyBorder="1" applyAlignment="1">
      <alignment horizontal="center" vertical="center" wrapText="1"/>
    </xf>
    <xf numFmtId="49" fontId="15" fillId="17" borderId="0" xfId="0" applyNumberFormat="1" applyFont="1" applyFill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/>
    </xf>
    <xf numFmtId="165" fontId="16" fillId="3" borderId="15" xfId="3" applyFont="1" applyFill="1" applyBorder="1" applyAlignment="1">
      <alignment horizontal="center" vertical="center"/>
    </xf>
    <xf numFmtId="0" fontId="42" fillId="2" borderId="28" xfId="9" applyFont="1" applyFill="1" applyBorder="1" applyAlignment="1">
      <alignment horizontal="center"/>
    </xf>
    <xf numFmtId="0" fontId="45" fillId="2" borderId="27" xfId="9" applyFont="1" applyFill="1" applyBorder="1"/>
    <xf numFmtId="0" fontId="42" fillId="2" borderId="27" xfId="9" applyFont="1" applyFill="1" applyBorder="1" applyAlignment="1">
      <alignment horizontal="center"/>
    </xf>
    <xf numFmtId="0" fontId="45" fillId="0" borderId="28" xfId="9" applyFont="1" applyBorder="1" applyAlignment="1">
      <alignment horizontal="center"/>
    </xf>
    <xf numFmtId="0" fontId="45" fillId="0" borderId="27" xfId="9" applyFont="1" applyBorder="1"/>
    <xf numFmtId="0" fontId="45" fillId="0" borderId="27" xfId="9" applyFont="1" applyBorder="1" applyAlignment="1">
      <alignment horizontal="center"/>
    </xf>
    <xf numFmtId="0" fontId="45" fillId="0" borderId="27" xfId="9" applyFont="1" applyBorder="1" applyAlignment="1">
      <alignment horizontal="left"/>
    </xf>
    <xf numFmtId="0" fontId="42" fillId="2" borderId="25" xfId="9" applyFont="1" applyFill="1" applyBorder="1" applyAlignment="1">
      <alignment horizontal="center"/>
    </xf>
    <xf numFmtId="0" fontId="42" fillId="2" borderId="24" xfId="9" applyFont="1" applyFill="1" applyBorder="1" applyAlignment="1">
      <alignment horizontal="left"/>
    </xf>
    <xf numFmtId="0" fontId="42" fillId="2" borderId="24" xfId="9" applyFont="1" applyFill="1" applyBorder="1" applyAlignment="1">
      <alignment horizontal="center"/>
    </xf>
    <xf numFmtId="165" fontId="45" fillId="0" borderId="27" xfId="11" applyFont="1" applyFill="1" applyBorder="1" applyAlignment="1" applyProtection="1">
      <alignment horizontal="center"/>
      <protection locked="0"/>
    </xf>
    <xf numFmtId="165" fontId="45" fillId="0" borderId="27" xfId="11" applyFont="1" applyFill="1" applyBorder="1" applyAlignment="1" applyProtection="1">
      <alignment horizontal="center"/>
    </xf>
    <xf numFmtId="165" fontId="45" fillId="0" borderId="26" xfId="11" applyFont="1" applyFill="1" applyBorder="1" applyAlignment="1" applyProtection="1">
      <alignment horizontal="center"/>
    </xf>
    <xf numFmtId="165" fontId="45" fillId="2" borderId="27" xfId="11" applyFont="1" applyFill="1" applyBorder="1" applyAlignment="1" applyProtection="1">
      <alignment horizontal="center"/>
    </xf>
    <xf numFmtId="165" fontId="45" fillId="2" borderId="26" xfId="11" applyFont="1" applyFill="1" applyBorder="1" applyAlignment="1" applyProtection="1">
      <alignment horizontal="center"/>
    </xf>
    <xf numFmtId="165" fontId="42" fillId="2" borderId="24" xfId="11" applyFont="1" applyFill="1" applyBorder="1" applyAlignment="1" applyProtection="1">
      <alignment horizontal="center"/>
    </xf>
    <xf numFmtId="165" fontId="42" fillId="2" borderId="23" xfId="11" applyFont="1" applyFill="1" applyBorder="1" applyAlignment="1" applyProtection="1">
      <alignment horizontal="center"/>
    </xf>
    <xf numFmtId="0" fontId="42" fillId="2" borderId="29" xfId="9" applyFont="1" applyFill="1" applyBorder="1" applyAlignment="1">
      <alignment horizontal="center"/>
    </xf>
    <xf numFmtId="0" fontId="45" fillId="2" borderId="30" xfId="9" applyFont="1" applyFill="1" applyBorder="1"/>
    <xf numFmtId="0" fontId="42" fillId="2" borderId="30" xfId="9" applyFont="1" applyFill="1" applyBorder="1" applyAlignment="1">
      <alignment horizontal="center"/>
    </xf>
    <xf numFmtId="168" fontId="45" fillId="2" borderId="30" xfId="11" applyNumberFormat="1" applyFont="1" applyFill="1" applyBorder="1" applyAlignment="1" applyProtection="1">
      <alignment horizontal="center"/>
    </xf>
    <xf numFmtId="168" fontId="45" fillId="2" borderId="39" xfId="11" applyNumberFormat="1" applyFont="1" applyFill="1" applyBorder="1" applyAlignment="1" applyProtection="1">
      <alignment horizontal="center"/>
    </xf>
    <xf numFmtId="49" fontId="15" fillId="17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49" fillId="0" borderId="0" xfId="13" applyNumberFormat="1" applyFont="1" applyAlignment="1">
      <alignment horizontal="center" vertical="center"/>
    </xf>
    <xf numFmtId="49" fontId="11" fillId="5" borderId="15" xfId="0" applyNumberFormat="1" applyFont="1" applyFill="1" applyBorder="1" applyAlignment="1">
      <alignment horizontal="center" vertical="center" wrapText="1"/>
    </xf>
    <xf numFmtId="0" fontId="50" fillId="0" borderId="0" xfId="13" applyFont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165" fontId="52" fillId="0" borderId="15" xfId="3" applyFont="1" applyFill="1" applyBorder="1" applyAlignment="1">
      <alignment horizontal="center" vertical="center" wrapText="1"/>
    </xf>
    <xf numFmtId="4" fontId="50" fillId="0" borderId="0" xfId="13" applyNumberFormat="1" applyFont="1" applyAlignment="1">
      <alignment horizontal="center" vertical="center"/>
    </xf>
    <xf numFmtId="165" fontId="53" fillId="0" borderId="15" xfId="3" applyFont="1" applyFill="1" applyBorder="1" applyAlignment="1">
      <alignment horizontal="center" vertical="center" wrapText="1"/>
    </xf>
    <xf numFmtId="0" fontId="51" fillId="5" borderId="15" xfId="0" applyFont="1" applyFill="1" applyBorder="1" applyAlignment="1">
      <alignment horizontal="center" vertical="center" wrapText="1"/>
    </xf>
    <xf numFmtId="165" fontId="52" fillId="5" borderId="15" xfId="3" applyFont="1" applyFill="1" applyBorder="1" applyAlignment="1">
      <alignment horizontal="center" vertical="center" wrapText="1"/>
    </xf>
    <xf numFmtId="4" fontId="50" fillId="5" borderId="0" xfId="13" applyNumberFormat="1" applyFont="1" applyFill="1" applyAlignment="1">
      <alignment horizontal="center" vertical="center"/>
    </xf>
    <xf numFmtId="165" fontId="53" fillId="5" borderId="15" xfId="3" applyFont="1" applyFill="1" applyBorder="1" applyAlignment="1">
      <alignment horizontal="center" vertical="center" wrapText="1"/>
    </xf>
    <xf numFmtId="0" fontId="49" fillId="5" borderId="0" xfId="12" applyFont="1" applyFill="1" applyAlignment="1">
      <alignment vertical="center" wrapText="1"/>
    </xf>
    <xf numFmtId="0" fontId="52" fillId="5" borderId="15" xfId="0" applyFont="1" applyFill="1" applyBorder="1" applyAlignment="1">
      <alignment horizontal="center" vertical="center" wrapText="1"/>
    </xf>
    <xf numFmtId="0" fontId="50" fillId="0" borderId="0" xfId="13" applyFont="1" applyAlignment="1">
      <alignment wrapText="1"/>
    </xf>
    <xf numFmtId="0" fontId="53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54" fillId="11" borderId="15" xfId="0" applyNumberFormat="1" applyFont="1" applyFill="1" applyBorder="1" applyAlignment="1">
      <alignment horizontal="left" vertical="center" wrapText="1"/>
    </xf>
    <xf numFmtId="0" fontId="52" fillId="11" borderId="15" xfId="0" applyFont="1" applyFill="1" applyBorder="1" applyAlignment="1">
      <alignment horizontal="center" vertical="center" wrapText="1"/>
    </xf>
    <xf numFmtId="165" fontId="52" fillId="11" borderId="15" xfId="3" applyFont="1" applyFill="1" applyBorder="1" applyAlignment="1">
      <alignment horizontal="center" vertical="center" wrapText="1"/>
    </xf>
    <xf numFmtId="49" fontId="52" fillId="5" borderId="15" xfId="0" applyNumberFormat="1" applyFont="1" applyFill="1" applyBorder="1" applyAlignment="1">
      <alignment horizontal="left" vertical="center" wrapText="1"/>
    </xf>
    <xf numFmtId="4" fontId="51" fillId="0" borderId="0" xfId="0" applyNumberFormat="1" applyFont="1" applyAlignment="1">
      <alignment vertical="center"/>
    </xf>
    <xf numFmtId="49" fontId="53" fillId="0" borderId="15" xfId="0" applyNumberFormat="1" applyFont="1" applyBorder="1" applyAlignment="1">
      <alignment horizontal="left" vertical="center" wrapText="1"/>
    </xf>
    <xf numFmtId="0" fontId="15" fillId="3" borderId="15" xfId="0" applyFont="1" applyFill="1" applyBorder="1" applyAlignment="1">
      <alignment horizontal="center" wrapText="1"/>
    </xf>
    <xf numFmtId="2" fontId="15" fillId="3" borderId="15" xfId="0" applyNumberFormat="1" applyFont="1" applyFill="1" applyBorder="1" applyAlignment="1">
      <alignment horizontal="center" wrapText="1"/>
    </xf>
    <xf numFmtId="165" fontId="53" fillId="0" borderId="15" xfId="3" applyFont="1" applyFill="1" applyBorder="1" applyAlignment="1">
      <alignment horizontal="left" vertical="center" wrapText="1"/>
    </xf>
    <xf numFmtId="164" fontId="14" fillId="11" borderId="15" xfId="1" applyFont="1" applyFill="1" applyBorder="1" applyAlignment="1">
      <alignment horizontal="center" vertical="center" wrapText="1"/>
    </xf>
    <xf numFmtId="164" fontId="15" fillId="3" borderId="15" xfId="1" applyFont="1" applyFill="1" applyBorder="1" applyAlignment="1">
      <alignment horizontal="center" wrapText="1"/>
    </xf>
    <xf numFmtId="164" fontId="54" fillId="11" borderId="15" xfId="1" applyFont="1" applyFill="1" applyBorder="1" applyAlignment="1">
      <alignment horizontal="center" vertical="center" wrapText="1"/>
    </xf>
    <xf numFmtId="164" fontId="13" fillId="0" borderId="15" xfId="1" applyFont="1" applyFill="1" applyBorder="1" applyAlignment="1">
      <alignment horizontal="center" vertical="center" wrapText="1"/>
    </xf>
    <xf numFmtId="164" fontId="16" fillId="5" borderId="15" xfId="1" applyFont="1" applyFill="1" applyBorder="1" applyAlignment="1">
      <alignment horizontal="left" wrapText="1"/>
    </xf>
    <xf numFmtId="164" fontId="10" fillId="0" borderId="15" xfId="1" applyFont="1" applyBorder="1" applyAlignment="1">
      <alignment horizontal="center" wrapText="1"/>
    </xf>
    <xf numFmtId="164" fontId="15" fillId="3" borderId="15" xfId="1" applyFont="1" applyFill="1" applyBorder="1" applyAlignment="1">
      <alignment horizontal="center" vertical="center" wrapText="1"/>
    </xf>
    <xf numFmtId="164" fontId="14" fillId="10" borderId="15" xfId="1" applyFont="1" applyFill="1" applyBorder="1" applyAlignment="1">
      <alignment horizontal="center" vertical="center" wrapText="1"/>
    </xf>
    <xf numFmtId="164" fontId="53" fillId="0" borderId="15" xfId="1" applyFont="1" applyFill="1" applyBorder="1" applyAlignment="1">
      <alignment horizontal="center" vertical="center" wrapText="1"/>
    </xf>
    <xf numFmtId="164" fontId="53" fillId="5" borderId="15" xfId="1" applyFont="1" applyFill="1" applyBorder="1" applyAlignment="1">
      <alignment horizontal="center" vertical="center" wrapText="1"/>
    </xf>
    <xf numFmtId="164" fontId="13" fillId="5" borderId="15" xfId="1" applyFont="1" applyFill="1" applyBorder="1" applyAlignment="1">
      <alignment horizontal="center" vertical="center" wrapText="1"/>
    </xf>
    <xf numFmtId="164" fontId="13" fillId="12" borderId="15" xfId="1" applyFont="1" applyFill="1" applyBorder="1" applyAlignment="1">
      <alignment horizontal="center" vertical="center" wrapText="1"/>
    </xf>
    <xf numFmtId="164" fontId="15" fillId="3" borderId="15" xfId="1" applyFont="1" applyFill="1" applyBorder="1" applyAlignment="1">
      <alignment horizontal="right" vertical="center" wrapText="1"/>
    </xf>
    <xf numFmtId="164" fontId="0" fillId="0" borderId="0" xfId="1" applyFont="1" applyAlignment="1">
      <alignment horizontal="center" vertical="center" wrapText="1"/>
    </xf>
    <xf numFmtId="164" fontId="4" fillId="0" borderId="0" xfId="1" applyFont="1"/>
    <xf numFmtId="164" fontId="0" fillId="0" borderId="0" xfId="1" applyFont="1"/>
    <xf numFmtId="164" fontId="0" fillId="0" borderId="0" xfId="0" applyNumberFormat="1"/>
    <xf numFmtId="0" fontId="0" fillId="0" borderId="0" xfId="0" quotePrefix="1"/>
    <xf numFmtId="165" fontId="24" fillId="21" borderId="15" xfId="3" applyFont="1" applyFill="1" applyBorder="1" applyAlignment="1">
      <alignment horizontal="center" vertical="center" wrapText="1"/>
    </xf>
    <xf numFmtId="165" fontId="18" fillId="21" borderId="15" xfId="3" applyFont="1" applyFill="1" applyBorder="1" applyAlignment="1">
      <alignment horizontal="center" vertical="center" wrapText="1"/>
    </xf>
    <xf numFmtId="164" fontId="17" fillId="21" borderId="15" xfId="1" applyFont="1" applyFill="1" applyBorder="1" applyAlignment="1">
      <alignment horizontal="center" vertical="center" wrapText="1"/>
    </xf>
    <xf numFmtId="0" fontId="17" fillId="21" borderId="15" xfId="0" applyFont="1" applyFill="1" applyBorder="1" applyAlignment="1">
      <alignment horizontal="center" vertical="center" wrapText="1"/>
    </xf>
    <xf numFmtId="49" fontId="17" fillId="21" borderId="15" xfId="0" applyNumberFormat="1" applyFont="1" applyFill="1" applyBorder="1" applyAlignment="1">
      <alignment horizontal="left" vertical="center" wrapText="1"/>
    </xf>
    <xf numFmtId="0" fontId="58" fillId="21" borderId="15" xfId="0" applyFont="1" applyFill="1" applyBorder="1" applyAlignment="1">
      <alignment horizontal="center" vertical="center" wrapText="1"/>
    </xf>
    <xf numFmtId="165" fontId="58" fillId="21" borderId="15" xfId="3" applyFont="1" applyFill="1" applyBorder="1" applyAlignment="1">
      <alignment horizontal="center" vertical="center" wrapText="1"/>
    </xf>
    <xf numFmtId="0" fontId="15" fillId="21" borderId="0" xfId="0" applyFont="1" applyFill="1" applyAlignment="1">
      <alignment horizontal="left" vertical="center" wrapText="1"/>
    </xf>
    <xf numFmtId="0" fontId="16" fillId="21" borderId="0" xfId="0" applyFont="1" applyFill="1" applyAlignment="1">
      <alignment horizontal="left" vertical="center" wrapText="1"/>
    </xf>
    <xf numFmtId="2" fontId="16" fillId="21" borderId="0" xfId="0" applyNumberFormat="1" applyFont="1" applyFill="1" applyAlignment="1">
      <alignment horizontal="left" vertical="center" wrapText="1"/>
    </xf>
    <xf numFmtId="164" fontId="16" fillId="21" borderId="0" xfId="1" applyFont="1" applyFill="1" applyAlignment="1">
      <alignment horizontal="left" vertical="center" wrapText="1"/>
    </xf>
    <xf numFmtId="0" fontId="16" fillId="21" borderId="0" xfId="0" applyFont="1" applyFill="1"/>
    <xf numFmtId="164" fontId="16" fillId="21" borderId="0" xfId="1" applyFont="1" applyFill="1"/>
    <xf numFmtId="49" fontId="16" fillId="21" borderId="0" xfId="0" applyNumberFormat="1" applyFont="1" applyFill="1" applyAlignment="1">
      <alignment horizontal="center" vertical="center" wrapText="1"/>
    </xf>
    <xf numFmtId="0" fontId="15" fillId="21" borderId="16" xfId="0" applyFont="1" applyFill="1" applyBorder="1" applyAlignment="1">
      <alignment horizontal="left" vertical="center" wrapText="1"/>
    </xf>
    <xf numFmtId="49" fontId="16" fillId="21" borderId="16" xfId="0" applyNumberFormat="1" applyFont="1" applyFill="1" applyBorder="1" applyAlignment="1">
      <alignment horizontal="center" vertical="center" wrapText="1"/>
    </xf>
    <xf numFmtId="0" fontId="15" fillId="21" borderId="15" xfId="0" applyFont="1" applyFill="1" applyBorder="1" applyAlignment="1">
      <alignment horizontal="center" vertical="center" wrapText="1"/>
    </xf>
    <xf numFmtId="0" fontId="18" fillId="21" borderId="15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49" fontId="18" fillId="21" borderId="15" xfId="0" applyNumberFormat="1" applyFont="1" applyFill="1" applyBorder="1" applyAlignment="1">
      <alignment horizontal="center" wrapText="1"/>
    </xf>
    <xf numFmtId="2" fontId="29" fillId="21" borderId="15" xfId="0" applyNumberFormat="1" applyFont="1" applyFill="1" applyBorder="1" applyAlignment="1">
      <alignment horizontal="center" vertical="center" wrapText="1"/>
    </xf>
    <xf numFmtId="164" fontId="18" fillId="21" borderId="15" xfId="1" applyFont="1" applyFill="1" applyBorder="1" applyAlignment="1">
      <alignment horizontal="center"/>
    </xf>
    <xf numFmtId="0" fontId="18" fillId="21" borderId="15" xfId="0" applyFont="1" applyFill="1" applyBorder="1" applyAlignment="1">
      <alignment horizontal="center" wrapText="1"/>
    </xf>
    <xf numFmtId="164" fontId="18" fillId="21" borderId="15" xfId="1" applyFont="1" applyFill="1" applyBorder="1" applyAlignment="1">
      <alignment horizontal="center" vertical="center" wrapText="1"/>
    </xf>
    <xf numFmtId="164" fontId="18" fillId="21" borderId="15" xfId="1" applyFont="1" applyFill="1" applyBorder="1" applyAlignment="1">
      <alignment horizontal="right" vertical="center" wrapText="1"/>
    </xf>
    <xf numFmtId="0" fontId="17" fillId="22" borderId="0" xfId="6" applyFont="1" applyFill="1" applyAlignment="1">
      <alignment horizontal="left" vertical="top"/>
    </xf>
    <xf numFmtId="0" fontId="17" fillId="22" borderId="0" xfId="6" applyFont="1" applyFill="1" applyAlignment="1">
      <alignment horizontal="left"/>
    </xf>
    <xf numFmtId="0" fontId="17" fillId="22" borderId="19" xfId="6" applyFont="1" applyFill="1" applyBorder="1" applyAlignment="1">
      <alignment horizontal="left"/>
    </xf>
    <xf numFmtId="0" fontId="17" fillId="22" borderId="20" xfId="6" applyFont="1" applyFill="1" applyBorder="1" applyAlignment="1">
      <alignment horizontal="left"/>
    </xf>
    <xf numFmtId="166" fontId="24" fillId="23" borderId="17" xfId="6" applyNumberFormat="1" applyFont="1" applyFill="1" applyBorder="1" applyAlignment="1">
      <alignment horizontal="center" vertical="center" wrapText="1"/>
    </xf>
    <xf numFmtId="49" fontId="60" fillId="21" borderId="2" xfId="6" applyNumberFormat="1" applyFont="1" applyFill="1" applyBorder="1"/>
    <xf numFmtId="0" fontId="60" fillId="21" borderId="3" xfId="6" applyFont="1" applyFill="1" applyBorder="1"/>
    <xf numFmtId="166" fontId="60" fillId="21" borderId="3" xfId="6" applyNumberFormat="1" applyFont="1" applyFill="1" applyBorder="1"/>
    <xf numFmtId="49" fontId="58" fillId="22" borderId="0" xfId="6" applyNumberFormat="1" applyFont="1" applyFill="1"/>
    <xf numFmtId="49" fontId="58" fillId="22" borderId="18" xfId="6" applyNumberFormat="1" applyFont="1" applyFill="1" applyBorder="1"/>
    <xf numFmtId="0" fontId="32" fillId="21" borderId="9" xfId="9" applyFont="1" applyFill="1" applyBorder="1"/>
    <xf numFmtId="0" fontId="32" fillId="21" borderId="0" xfId="9" applyFont="1" applyFill="1"/>
    <xf numFmtId="0" fontId="38" fillId="21" borderId="9" xfId="9" applyFont="1" applyFill="1" applyBorder="1" applyAlignment="1">
      <alignment horizontal="center" vertical="center" wrapText="1"/>
    </xf>
    <xf numFmtId="0" fontId="38" fillId="21" borderId="0" xfId="9" applyFont="1" applyFill="1" applyAlignment="1">
      <alignment horizontal="center" vertical="center" wrapText="1"/>
    </xf>
    <xf numFmtId="0" fontId="38" fillId="21" borderId="12" xfId="9" applyFont="1" applyFill="1" applyBorder="1" applyAlignment="1">
      <alignment horizontal="center" vertical="center" wrapText="1"/>
    </xf>
    <xf numFmtId="0" fontId="38" fillId="21" borderId="14" xfId="9" applyFont="1" applyFill="1" applyBorder="1" applyAlignment="1">
      <alignment horizontal="center" vertical="center" wrapText="1"/>
    </xf>
    <xf numFmtId="165" fontId="17" fillId="21" borderId="15" xfId="3" applyFont="1" applyFill="1" applyBorder="1" applyAlignment="1">
      <alignment horizontal="center" vertical="center" wrapText="1"/>
    </xf>
    <xf numFmtId="10" fontId="53" fillId="0" borderId="15" xfId="15" applyNumberFormat="1" applyFont="1" applyFill="1" applyBorder="1" applyAlignment="1">
      <alignment horizontal="center" vertical="center" wrapText="1"/>
    </xf>
    <xf numFmtId="10" fontId="15" fillId="3" borderId="15" xfId="15" applyNumberFormat="1" applyFont="1" applyFill="1" applyBorder="1" applyAlignment="1">
      <alignment horizontal="center" wrapText="1"/>
    </xf>
    <xf numFmtId="10" fontId="59" fillId="21" borderId="0" xfId="15" applyNumberFormat="1" applyFont="1" applyFill="1" applyAlignment="1">
      <alignment horizontal="center" vertical="center"/>
    </xf>
    <xf numFmtId="10" fontId="12" fillId="10" borderId="15" xfId="15" applyNumberFormat="1" applyFont="1" applyFill="1" applyBorder="1" applyAlignment="1">
      <alignment horizontal="center" vertical="center" wrapText="1"/>
    </xf>
    <xf numFmtId="10" fontId="12" fillId="5" borderId="15" xfId="15" applyNumberFormat="1" applyFont="1" applyFill="1" applyBorder="1" applyAlignment="1">
      <alignment horizontal="center" vertical="center" wrapText="1"/>
    </xf>
    <xf numFmtId="10" fontId="0" fillId="21" borderId="0" xfId="0" applyNumberFormat="1" applyFill="1"/>
    <xf numFmtId="10" fontId="0" fillId="0" borderId="0" xfId="0" applyNumberFormat="1"/>
    <xf numFmtId="10" fontId="53" fillId="0" borderId="15" xfId="3" applyNumberFormat="1" applyFont="1" applyFill="1" applyBorder="1" applyAlignment="1">
      <alignment horizontal="center" vertical="center" wrapText="1"/>
    </xf>
    <xf numFmtId="10" fontId="15" fillId="3" borderId="15" xfId="3" applyNumberFormat="1" applyFont="1" applyFill="1" applyBorder="1" applyAlignment="1">
      <alignment horizontal="center" vertical="center" wrapText="1"/>
    </xf>
    <xf numFmtId="10" fontId="12" fillId="11" borderId="15" xfId="3" applyNumberFormat="1" applyFont="1" applyFill="1" applyBorder="1" applyAlignment="1">
      <alignment horizontal="center" vertical="center" wrapText="1"/>
    </xf>
    <xf numFmtId="10" fontId="52" fillId="11" borderId="15" xfId="3" applyNumberFormat="1" applyFont="1" applyFill="1" applyBorder="1" applyAlignment="1">
      <alignment horizontal="center" vertical="center" wrapText="1"/>
    </xf>
    <xf numFmtId="10" fontId="13" fillId="0" borderId="15" xfId="3" applyNumberFormat="1" applyFont="1" applyFill="1" applyBorder="1" applyAlignment="1">
      <alignment horizontal="center" vertical="center" wrapText="1"/>
    </xf>
    <xf numFmtId="10" fontId="13" fillId="5" borderId="15" xfId="3" applyNumberFormat="1" applyFont="1" applyFill="1" applyBorder="1" applyAlignment="1">
      <alignment horizontal="center" vertical="center" wrapText="1"/>
    </xf>
    <xf numFmtId="10" fontId="16" fillId="3" borderId="15" xfId="3" applyNumberFormat="1" applyFont="1" applyFill="1" applyBorder="1" applyAlignment="1">
      <alignment horizontal="center" vertical="center" wrapText="1"/>
    </xf>
    <xf numFmtId="10" fontId="14" fillId="11" borderId="15" xfId="3" applyNumberFormat="1" applyFont="1" applyFill="1" applyBorder="1" applyAlignment="1">
      <alignment horizontal="center" vertical="center" wrapText="1"/>
    </xf>
    <xf numFmtId="10" fontId="13" fillId="12" borderId="15" xfId="3" applyNumberFormat="1" applyFont="1" applyFill="1" applyBorder="1" applyAlignment="1">
      <alignment horizontal="center" vertical="center" wrapText="1"/>
    </xf>
    <xf numFmtId="10" fontId="15" fillId="3" borderId="15" xfId="0" applyNumberFormat="1" applyFont="1" applyFill="1" applyBorder="1" applyAlignment="1">
      <alignment horizontal="center" vertical="center" wrapText="1"/>
    </xf>
    <xf numFmtId="10" fontId="29" fillId="21" borderId="15" xfId="0" applyNumberFormat="1" applyFont="1" applyFill="1" applyBorder="1" applyAlignment="1">
      <alignment horizontal="center" vertical="center" wrapText="1"/>
    </xf>
    <xf numFmtId="10" fontId="15" fillId="3" borderId="15" xfId="15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49" fillId="5" borderId="0" xfId="13" applyFont="1" applyFill="1" applyAlignment="1">
      <alignment wrapText="1"/>
    </xf>
    <xf numFmtId="49" fontId="13" fillId="5" borderId="15" xfId="0" applyNumberFormat="1" applyFont="1" applyFill="1" applyBorder="1" applyAlignment="1">
      <alignment horizontal="left" vertical="center" wrapText="1"/>
    </xf>
    <xf numFmtId="10" fontId="53" fillId="5" borderId="15" xfId="15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8" fillId="18" borderId="9" xfId="9" applyFont="1" applyFill="1" applyBorder="1" applyAlignment="1">
      <alignment horizontal="center" vertical="center" wrapText="1"/>
    </xf>
    <xf numFmtId="0" fontId="38" fillId="18" borderId="0" xfId="9" applyFont="1" applyFill="1" applyAlignment="1">
      <alignment horizontal="center" vertical="center" wrapText="1"/>
    </xf>
    <xf numFmtId="0" fontId="39" fillId="11" borderId="0" xfId="9" applyFont="1" applyFill="1" applyAlignment="1">
      <alignment horizontal="center" vertical="center" wrapText="1"/>
    </xf>
    <xf numFmtId="0" fontId="37" fillId="11" borderId="0" xfId="9" applyFont="1" applyFill="1" applyAlignment="1">
      <alignment horizontal="center" vertical="center" wrapText="1"/>
    </xf>
    <xf numFmtId="0" fontId="24" fillId="21" borderId="9" xfId="9" applyFont="1" applyFill="1" applyBorder="1" applyAlignment="1" applyProtection="1">
      <alignment horizontal="center"/>
      <protection locked="0"/>
    </xf>
    <xf numFmtId="0" fontId="24" fillId="21" borderId="0" xfId="9" applyFont="1" applyFill="1" applyAlignment="1" applyProtection="1">
      <alignment horizontal="center"/>
      <protection locked="0"/>
    </xf>
    <xf numFmtId="0" fontId="37" fillId="0" borderId="0" xfId="9" applyFont="1" applyAlignment="1">
      <alignment horizontal="center" vertical="top" wrapText="1"/>
    </xf>
    <xf numFmtId="0" fontId="24" fillId="21" borderId="9" xfId="9" applyFont="1" applyFill="1" applyBorder="1" applyAlignment="1" applyProtection="1">
      <alignment horizontal="center" vertical="top"/>
      <protection locked="0"/>
    </xf>
    <xf numFmtId="0" fontId="24" fillId="21" borderId="0" xfId="9" applyFont="1" applyFill="1" applyAlignment="1" applyProtection="1">
      <alignment horizontal="center" vertical="top"/>
      <protection locked="0"/>
    </xf>
    <xf numFmtId="165" fontId="42" fillId="0" borderId="0" xfId="11" applyFont="1" applyFill="1" applyBorder="1" applyAlignment="1" applyProtection="1">
      <alignment horizontal="left" vertical="center" wrapText="1"/>
    </xf>
    <xf numFmtId="0" fontId="42" fillId="0" borderId="0" xfId="11" applyNumberFormat="1" applyFont="1" applyFill="1" applyBorder="1" applyAlignment="1" applyProtection="1">
      <alignment horizontal="left" vertical="center" wrapText="1"/>
    </xf>
    <xf numFmtId="0" fontId="45" fillId="0" borderId="0" xfId="11" applyNumberFormat="1" applyFont="1" applyFill="1" applyBorder="1" applyAlignment="1" applyProtection="1">
      <alignment vertical="center" wrapText="1"/>
    </xf>
    <xf numFmtId="0" fontId="38" fillId="0" borderId="0" xfId="9" applyFont="1" applyAlignment="1">
      <alignment horizontal="center" vertical="center"/>
    </xf>
    <xf numFmtId="165" fontId="14" fillId="0" borderId="0" xfId="11" applyFont="1" applyFill="1" applyBorder="1" applyAlignment="1" applyProtection="1">
      <alignment horizontal="center" vertical="center" wrapText="1"/>
    </xf>
    <xf numFmtId="165" fontId="14" fillId="0" borderId="0" xfId="11" applyFont="1" applyFill="1" applyBorder="1" applyAlignment="1" applyProtection="1">
      <alignment horizontal="center" vertical="center"/>
    </xf>
    <xf numFmtId="165" fontId="14" fillId="0" borderId="1" xfId="11" applyFont="1" applyFill="1" applyBorder="1" applyAlignment="1" applyProtection="1">
      <alignment horizontal="center" vertical="center"/>
    </xf>
    <xf numFmtId="49" fontId="15" fillId="17" borderId="17" xfId="0" applyNumberFormat="1" applyFont="1" applyFill="1" applyBorder="1" applyAlignment="1">
      <alignment horizontal="center" vertical="center" wrapText="1"/>
    </xf>
    <xf numFmtId="0" fontId="41" fillId="0" borderId="0" xfId="9" applyFont="1" applyAlignment="1">
      <alignment horizontal="left"/>
    </xf>
    <xf numFmtId="0" fontId="17" fillId="17" borderId="0" xfId="0" applyFont="1" applyFill="1" applyAlignment="1">
      <alignment horizontal="left" vertical="center" wrapText="1"/>
    </xf>
    <xf numFmtId="0" fontId="29" fillId="17" borderId="0" xfId="0" applyFont="1" applyFill="1" applyAlignment="1">
      <alignment horizontal="left" vertical="center" wrapText="1"/>
    </xf>
    <xf numFmtId="49" fontId="15" fillId="17" borderId="0" xfId="0" applyNumberFormat="1" applyFont="1" applyFill="1" applyAlignment="1">
      <alignment horizontal="center" vertical="center" wrapText="1"/>
    </xf>
    <xf numFmtId="49" fontId="18" fillId="17" borderId="0" xfId="0" applyNumberFormat="1" applyFont="1" applyFill="1" applyAlignment="1">
      <alignment horizontal="left" vertical="center" wrapText="1"/>
    </xf>
    <xf numFmtId="0" fontId="15" fillId="17" borderId="0" xfId="0" applyFont="1" applyFill="1" applyAlignment="1">
      <alignment horizontal="left" vertical="center" wrapText="1"/>
    </xf>
    <xf numFmtId="0" fontId="61" fillId="22" borderId="35" xfId="6" applyFont="1" applyFill="1" applyBorder="1" applyAlignment="1">
      <alignment horizontal="left" vertical="center" wrapText="1"/>
    </xf>
    <xf numFmtId="0" fontId="61" fillId="22" borderId="19" xfId="6" applyFont="1" applyFill="1" applyBorder="1" applyAlignment="1">
      <alignment horizontal="left" vertical="center" wrapText="1"/>
    </xf>
    <xf numFmtId="166" fontId="24" fillId="23" borderId="18" xfId="6" applyNumberFormat="1" applyFont="1" applyFill="1" applyBorder="1" applyAlignment="1">
      <alignment horizontal="left" vertical="center" wrapText="1"/>
    </xf>
    <xf numFmtId="166" fontId="24" fillId="23" borderId="20" xfId="6" applyNumberFormat="1" applyFont="1" applyFill="1" applyBorder="1" applyAlignment="1">
      <alignment horizontal="left" vertical="center" wrapText="1"/>
    </xf>
    <xf numFmtId="165" fontId="18" fillId="21" borderId="32" xfId="3" applyFont="1" applyFill="1" applyBorder="1" applyAlignment="1">
      <alignment horizontal="center" vertical="center" wrapText="1"/>
    </xf>
    <xf numFmtId="165" fontId="18" fillId="21" borderId="33" xfId="3" applyFont="1" applyFill="1" applyBorder="1" applyAlignment="1">
      <alignment horizontal="center" vertical="center" wrapText="1"/>
    </xf>
    <xf numFmtId="165" fontId="18" fillId="21" borderId="34" xfId="3" applyFont="1" applyFill="1" applyBorder="1" applyAlignment="1">
      <alignment horizontal="center" vertical="center" wrapText="1"/>
    </xf>
    <xf numFmtId="49" fontId="17" fillId="21" borderId="32" xfId="0" applyNumberFormat="1" applyFont="1" applyFill="1" applyBorder="1" applyAlignment="1">
      <alignment horizontal="left" vertical="center" wrapText="1"/>
    </xf>
    <xf numFmtId="49" fontId="17" fillId="21" borderId="33" xfId="0" applyNumberFormat="1" applyFont="1" applyFill="1" applyBorder="1" applyAlignment="1">
      <alignment horizontal="left" vertical="center" wrapText="1"/>
    </xf>
    <xf numFmtId="49" fontId="17" fillId="21" borderId="3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15" fillId="21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15" fillId="21" borderId="42" xfId="0" applyFont="1" applyFill="1" applyBorder="1" applyAlignment="1">
      <alignment horizontal="left" vertical="center" wrapText="1"/>
    </xf>
    <xf numFmtId="49" fontId="30" fillId="12" borderId="15" xfId="0" applyNumberFormat="1" applyFont="1" applyFill="1" applyBorder="1" applyAlignment="1">
      <alignment horizontal="center" vertical="center" textRotation="90" wrapText="1"/>
    </xf>
    <xf numFmtId="49" fontId="15" fillId="3" borderId="32" xfId="0" applyNumberFormat="1" applyFont="1" applyFill="1" applyBorder="1" applyAlignment="1">
      <alignment horizontal="left" vertical="center" wrapText="1"/>
    </xf>
    <xf numFmtId="49" fontId="15" fillId="3" borderId="34" xfId="0" applyNumberFormat="1" applyFont="1" applyFill="1" applyBorder="1" applyAlignment="1">
      <alignment horizontal="left" vertical="center" wrapText="1"/>
    </xf>
    <xf numFmtId="0" fontId="18" fillId="21" borderId="32" xfId="0" applyFont="1" applyFill="1" applyBorder="1" applyAlignment="1">
      <alignment horizontal="center"/>
    </xf>
    <xf numFmtId="0" fontId="18" fillId="21" borderId="33" xfId="0" applyFont="1" applyFill="1" applyBorder="1" applyAlignment="1">
      <alignment horizontal="center"/>
    </xf>
    <xf numFmtId="0" fontId="18" fillId="21" borderId="34" xfId="0" applyFont="1" applyFill="1" applyBorder="1" applyAlignment="1">
      <alignment horizontal="center"/>
    </xf>
    <xf numFmtId="0" fontId="15" fillId="21" borderId="40" xfId="0" applyFont="1" applyFill="1" applyBorder="1" applyAlignment="1">
      <alignment horizontal="left" vertical="center" wrapText="1"/>
    </xf>
    <xf numFmtId="0" fontId="15" fillId="21" borderId="41" xfId="0" applyFont="1" applyFill="1" applyBorder="1" applyAlignment="1">
      <alignment horizontal="left" vertical="center" wrapText="1"/>
    </xf>
    <xf numFmtId="49" fontId="15" fillId="3" borderId="32" xfId="0" applyNumberFormat="1" applyFont="1" applyFill="1" applyBorder="1" applyAlignment="1">
      <alignment horizontal="center" vertical="center" wrapText="1"/>
    </xf>
    <xf numFmtId="49" fontId="15" fillId="3" borderId="33" xfId="0" applyNumberFormat="1" applyFont="1" applyFill="1" applyBorder="1" applyAlignment="1">
      <alignment horizontal="center" vertical="center" wrapText="1"/>
    </xf>
    <xf numFmtId="49" fontId="15" fillId="3" borderId="34" xfId="0" applyNumberFormat="1" applyFont="1" applyFill="1" applyBorder="1" applyAlignment="1">
      <alignment horizontal="center" vertical="center" wrapText="1"/>
    </xf>
    <xf numFmtId="49" fontId="14" fillId="11" borderId="32" xfId="0" applyNumberFormat="1" applyFont="1" applyFill="1" applyBorder="1" applyAlignment="1">
      <alignment horizontal="left" vertical="center" wrapText="1"/>
    </xf>
    <xf numFmtId="49" fontId="14" fillId="11" borderId="33" xfId="0" applyNumberFormat="1" applyFont="1" applyFill="1" applyBorder="1" applyAlignment="1">
      <alignment horizontal="left" vertical="center" wrapText="1"/>
    </xf>
    <xf numFmtId="49" fontId="14" fillId="11" borderId="34" xfId="0" applyNumberFormat="1" applyFont="1" applyFill="1" applyBorder="1" applyAlignment="1">
      <alignment horizontal="left" vertical="center" wrapText="1"/>
    </xf>
    <xf numFmtId="0" fontId="17" fillId="21" borderId="0" xfId="0" applyFont="1" applyFill="1" applyAlignment="1">
      <alignment horizontal="left" vertical="center" wrapText="1"/>
    </xf>
    <xf numFmtId="0" fontId="29" fillId="21" borderId="0" xfId="0" applyFont="1" applyFill="1" applyAlignment="1">
      <alignment horizontal="left" vertical="center" wrapText="1"/>
    </xf>
    <xf numFmtId="0" fontId="15" fillId="21" borderId="0" xfId="0" applyFont="1" applyFill="1" applyAlignment="1">
      <alignment horizontal="left" vertical="center" wrapText="1"/>
    </xf>
    <xf numFmtId="49" fontId="18" fillId="21" borderId="0" xfId="0" applyNumberFormat="1" applyFont="1" applyFill="1" applyAlignment="1">
      <alignment horizontal="left" vertical="center" wrapText="1"/>
    </xf>
    <xf numFmtId="165" fontId="17" fillId="21" borderId="32" xfId="3" applyFont="1" applyFill="1" applyBorder="1" applyAlignment="1">
      <alignment horizontal="center" vertical="center" wrapText="1"/>
    </xf>
    <xf numFmtId="165" fontId="17" fillId="21" borderId="33" xfId="3" applyFont="1" applyFill="1" applyBorder="1" applyAlignment="1">
      <alignment horizontal="center" vertical="center" wrapText="1"/>
    </xf>
    <xf numFmtId="165" fontId="17" fillId="21" borderId="34" xfId="3" applyFont="1" applyFill="1" applyBorder="1" applyAlignment="1">
      <alignment horizontal="center" vertical="center" wrapText="1"/>
    </xf>
    <xf numFmtId="0" fontId="28" fillId="21" borderId="0" xfId="0" applyFont="1" applyFill="1" applyAlignment="1">
      <alignment horizontal="right" vertical="center" wrapText="1"/>
    </xf>
  </cellXfs>
  <cellStyles count="16">
    <cellStyle name="Moeda" xfId="1" builtinId="4"/>
    <cellStyle name="Moeda 2" xfId="14" xr:uid="{00000000-0005-0000-0000-000001000000}"/>
    <cellStyle name="Normal" xfId="0" builtinId="0"/>
    <cellStyle name="Normal 2" xfId="5" xr:uid="{00000000-0005-0000-0000-000003000000}"/>
    <cellStyle name="Normal 2 10" xfId="9" xr:uid="{00000000-0005-0000-0000-000004000000}"/>
    <cellStyle name="Normal 3" xfId="12" xr:uid="{00000000-0005-0000-0000-000005000000}"/>
    <cellStyle name="Normal 4" xfId="2" xr:uid="{00000000-0005-0000-0000-000006000000}"/>
    <cellStyle name="Normal 4 2" xfId="6" xr:uid="{00000000-0005-0000-0000-000007000000}"/>
    <cellStyle name="Normal 5" xfId="13" xr:uid="{00000000-0005-0000-0000-000008000000}"/>
    <cellStyle name="Percentagem" xfId="15" builtinId="5"/>
    <cellStyle name="Porcentagem 2" xfId="7" xr:uid="{00000000-0005-0000-0000-00000A000000}"/>
    <cellStyle name="Separador de milhares 2" xfId="11" xr:uid="{00000000-0005-0000-0000-00000B000000}"/>
    <cellStyle name="Vírgula" xfId="3" builtinId="3"/>
    <cellStyle name="Vírgula 2" xfId="4" xr:uid="{00000000-0005-0000-0000-00000D000000}"/>
    <cellStyle name="Vírgula 2 2" xfId="8" xr:uid="{00000000-0005-0000-0000-00000E000000}"/>
    <cellStyle name="Vírgula 4" xfId="10" xr:uid="{00000000-0005-0000-0000-00000F000000}"/>
  </cellStyles>
  <dxfs count="1"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004442"/>
      <color rgb="FF006666"/>
      <color rgb="FF00504E"/>
      <color rgb="FF003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'CR-FF-GERAL'!$C$14</c:f>
              <c:strCache>
                <c:ptCount val="1"/>
                <c:pt idx="0">
                  <c:v>PLANEJADO ACUMULADO</c:v>
                </c:pt>
              </c:strCache>
            </c:strRef>
          </c:tx>
          <c:marker>
            <c:symbol val="circle"/>
            <c:size val="5"/>
          </c:marker>
          <c:cat>
            <c:numRef>
              <c:f>'CR-FF-GERAL'!$D$13:$T$13</c:f>
              <c:numCache>
                <c:formatCode>d\-mmm</c:formatCode>
                <c:ptCount val="17"/>
                <c:pt idx="0">
                  <c:v>45289</c:v>
                </c:pt>
                <c:pt idx="1">
                  <c:v>45299</c:v>
                </c:pt>
                <c:pt idx="2">
                  <c:v>45306</c:v>
                </c:pt>
                <c:pt idx="3">
                  <c:v>45647</c:v>
                </c:pt>
                <c:pt idx="4">
                  <c:v>45320</c:v>
                </c:pt>
                <c:pt idx="5">
                  <c:v>45327</c:v>
                </c:pt>
                <c:pt idx="6">
                  <c:v>45334</c:v>
                </c:pt>
                <c:pt idx="7">
                  <c:v>45341</c:v>
                </c:pt>
                <c:pt idx="8">
                  <c:v>45348</c:v>
                </c:pt>
                <c:pt idx="9">
                  <c:v>45355</c:v>
                </c:pt>
                <c:pt idx="10">
                  <c:v>45362</c:v>
                </c:pt>
                <c:pt idx="11">
                  <c:v>45369</c:v>
                </c:pt>
                <c:pt idx="12">
                  <c:v>45376</c:v>
                </c:pt>
                <c:pt idx="13">
                  <c:v>45383</c:v>
                </c:pt>
                <c:pt idx="14">
                  <c:v>45390</c:v>
                </c:pt>
                <c:pt idx="15">
                  <c:v>45397</c:v>
                </c:pt>
                <c:pt idx="16">
                  <c:v>45404</c:v>
                </c:pt>
              </c:numCache>
            </c:numRef>
          </c:cat>
          <c:val>
            <c:numRef>
              <c:f>'CR-FF-GERAL'!$D$14:$T$14</c:f>
              <c:numCache>
                <c:formatCode>0.00%</c:formatCode>
                <c:ptCount val="17"/>
                <c:pt idx="0">
                  <c:v>0</c:v>
                </c:pt>
                <c:pt idx="1">
                  <c:v>1.3866126594896284E-2</c:v>
                </c:pt>
                <c:pt idx="2">
                  <c:v>2.6545849330178589E-2</c:v>
                </c:pt>
                <c:pt idx="3">
                  <c:v>3.9225572065460894E-2</c:v>
                </c:pt>
                <c:pt idx="4">
                  <c:v>4.8346083221901273E-2</c:v>
                </c:pt>
                <c:pt idx="5">
                  <c:v>5.7466594378341659E-2</c:v>
                </c:pt>
                <c:pt idx="6">
                  <c:v>9.441781126894408E-2</c:v>
                </c:pt>
                <c:pt idx="7">
                  <c:v>0.31380115597403369</c:v>
                </c:pt>
                <c:pt idx="8">
                  <c:v>0.53318450067912326</c:v>
                </c:pt>
                <c:pt idx="9">
                  <c:v>0.5956581815913099</c:v>
                </c:pt>
                <c:pt idx="10">
                  <c:v>0.61050762257719748</c:v>
                </c:pt>
                <c:pt idx="11">
                  <c:v>0.63836721140316066</c:v>
                </c:pt>
                <c:pt idx="12">
                  <c:v>0.66968653959592472</c:v>
                </c:pt>
                <c:pt idx="13">
                  <c:v>0.70439744911568192</c:v>
                </c:pt>
                <c:pt idx="14">
                  <c:v>0.74039999466571149</c:v>
                </c:pt>
                <c:pt idx="15">
                  <c:v>0.76339239237566547</c:v>
                </c:pt>
                <c:pt idx="16">
                  <c:v>0.78421668674909084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2-4D3A-ADD8-07FF6A8FD2BA}"/>
            </c:ext>
          </c:extLst>
        </c:ser>
        <c:ser>
          <c:idx val="1"/>
          <c:order val="1"/>
          <c:tx>
            <c:strRef>
              <c:f>'CR-FF-GERAL'!$C$15</c:f>
              <c:strCache>
                <c:ptCount val="1"/>
                <c:pt idx="0">
                  <c:v>EXECUTADO ACUMULADO</c:v>
                </c:pt>
              </c:strCache>
            </c:strRef>
          </c:tx>
          <c:marker>
            <c:symbol val="circle"/>
            <c:size val="5"/>
          </c:marker>
          <c:cat>
            <c:numRef>
              <c:f>'CR-FF-GERAL'!$D$13:$T$13</c:f>
              <c:numCache>
                <c:formatCode>d\-mmm</c:formatCode>
                <c:ptCount val="17"/>
                <c:pt idx="0">
                  <c:v>45289</c:v>
                </c:pt>
                <c:pt idx="1">
                  <c:v>45299</c:v>
                </c:pt>
                <c:pt idx="2">
                  <c:v>45306</c:v>
                </c:pt>
                <c:pt idx="3">
                  <c:v>45647</c:v>
                </c:pt>
                <c:pt idx="4">
                  <c:v>45320</c:v>
                </c:pt>
                <c:pt idx="5">
                  <c:v>45327</c:v>
                </c:pt>
                <c:pt idx="6">
                  <c:v>45334</c:v>
                </c:pt>
                <c:pt idx="7">
                  <c:v>45341</c:v>
                </c:pt>
                <c:pt idx="8">
                  <c:v>45348</c:v>
                </c:pt>
                <c:pt idx="9">
                  <c:v>45355</c:v>
                </c:pt>
                <c:pt idx="10">
                  <c:v>45362</c:v>
                </c:pt>
                <c:pt idx="11">
                  <c:v>45369</c:v>
                </c:pt>
                <c:pt idx="12">
                  <c:v>45376</c:v>
                </c:pt>
                <c:pt idx="13">
                  <c:v>45383</c:v>
                </c:pt>
                <c:pt idx="14">
                  <c:v>45390</c:v>
                </c:pt>
                <c:pt idx="15">
                  <c:v>45397</c:v>
                </c:pt>
                <c:pt idx="16">
                  <c:v>45404</c:v>
                </c:pt>
              </c:numCache>
            </c:numRef>
          </c:cat>
          <c:val>
            <c:numRef>
              <c:f>'CR-FF-GERAL'!$D$15:$T$15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2-4D3A-ADD8-07FF6A8FD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4719632"/>
        <c:axId val="-1514719088"/>
      </c:lineChart>
      <c:dateAx>
        <c:axId val="-1514719632"/>
        <c:scaling>
          <c:orientation val="minMax"/>
        </c:scaling>
        <c:delete val="0"/>
        <c:axPos val="b"/>
        <c:numFmt formatCode="dd/mmm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514719088"/>
        <c:crosses val="autoZero"/>
        <c:auto val="1"/>
        <c:lblOffset val="100"/>
        <c:baseTimeUnit val="months"/>
      </c:dateAx>
      <c:valAx>
        <c:axId val="-1514719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514719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2.wdp"/><Relationship Id="rId1" Type="http://schemas.openxmlformats.org/officeDocument/2006/relationships/image" Target="../media/image3.png"/><Relationship Id="rId4" Type="http://schemas.microsoft.com/office/2007/relationships/hdphoto" Target="../media/hdphoto3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452437</xdr:colOff>
      <xdr:row>31</xdr:row>
      <xdr:rowOff>87311</xdr:rowOff>
    </xdr:from>
    <xdr:to>
      <xdr:col>7</xdr:col>
      <xdr:colOff>85923</xdr:colOff>
      <xdr:row>35</xdr:row>
      <xdr:rowOff>71629</xdr:rowOff>
    </xdr:to>
    <xdr:pic>
      <xdr:nvPicPr>
        <xdr:cNvPr id="5" name="Imagem 4" descr="LogoCAU | CAU/D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" y="5857874"/>
          <a:ext cx="3919736" cy="1024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700086</xdr:colOff>
      <xdr:row>3</xdr:row>
      <xdr:rowOff>134937</xdr:rowOff>
    </xdr:from>
    <xdr:to>
      <xdr:col>8</xdr:col>
      <xdr:colOff>516829</xdr:colOff>
      <xdr:row>4</xdr:row>
      <xdr:rowOff>226314</xdr:rowOff>
    </xdr:to>
    <xdr:pic>
      <xdr:nvPicPr>
        <xdr:cNvPr id="6" name="Imagem 5" descr="LogoCAU | CAU/D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1961" y="515937"/>
          <a:ext cx="1959868" cy="512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24</xdr:row>
      <xdr:rowOff>19049</xdr:rowOff>
    </xdr:from>
    <xdr:ext cx="5368399" cy="2085976"/>
    <xdr:pic>
      <xdr:nvPicPr>
        <xdr:cNvPr id="2" name="Imagem 4" descr="Figura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7019924"/>
          <a:ext cx="5368399" cy="2085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4962525</xdr:colOff>
      <xdr:row>1</xdr:row>
      <xdr:rowOff>171450</xdr:rowOff>
    </xdr:from>
    <xdr:to>
      <xdr:col>6</xdr:col>
      <xdr:colOff>259291</xdr:colOff>
      <xdr:row>5</xdr:row>
      <xdr:rowOff>96309</xdr:rowOff>
    </xdr:to>
    <xdr:pic>
      <xdr:nvPicPr>
        <xdr:cNvPr id="4" name="Imagem 3" descr="Museu da Bíblia: Nota de Esclarecimento | CAU/D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037" b="26667"/>
        <a:stretch/>
      </xdr:blipFill>
      <xdr:spPr bwMode="auto">
        <a:xfrm>
          <a:off x="5343525" y="352425"/>
          <a:ext cx="2859616" cy="1315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180975</xdr:rowOff>
    </xdr:from>
    <xdr:to>
      <xdr:col>20</xdr:col>
      <xdr:colOff>0</xdr:colOff>
      <xdr:row>7</xdr:row>
      <xdr:rowOff>1295400</xdr:rowOff>
    </xdr:to>
    <xdr:graphicFrame macro="">
      <xdr:nvGraphicFramePr>
        <xdr:cNvPr id="2" name="Gráfico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254000</xdr:colOff>
      <xdr:row>52</xdr:row>
      <xdr:rowOff>238125</xdr:rowOff>
    </xdr:from>
    <xdr:to>
      <xdr:col>7</xdr:col>
      <xdr:colOff>750693</xdr:colOff>
      <xdr:row>54</xdr:row>
      <xdr:rowOff>436443</xdr:rowOff>
    </xdr:to>
    <xdr:pic>
      <xdr:nvPicPr>
        <xdr:cNvPr id="3" name="Imagem 2" descr="LogoCAU | CAU/D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7850" y="17478375"/>
          <a:ext cx="4725793" cy="1227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350520</xdr:colOff>
      <xdr:row>1</xdr:row>
      <xdr:rowOff>137160</xdr:rowOff>
    </xdr:from>
    <xdr:to>
      <xdr:col>2</xdr:col>
      <xdr:colOff>4759</xdr:colOff>
      <xdr:row>7</xdr:row>
      <xdr:rowOff>182880</xdr:rowOff>
    </xdr:to>
    <xdr:pic>
      <xdr:nvPicPr>
        <xdr:cNvPr id="4" name="Imagem 3" descr="LogomarcaCAUDFInstagram | CAU/DF">
          <a:extLst>
            <a:ext uri="{FF2B5EF4-FFF2-40B4-BE49-F238E27FC236}">
              <a16:creationId xmlns:a16="http://schemas.microsoft.com/office/drawing/2014/main" id="{421BD717-C01E-40D0-8958-8B603A3E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335280"/>
          <a:ext cx="1848799" cy="193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773641</xdr:colOff>
      <xdr:row>0</xdr:row>
      <xdr:rowOff>7620</xdr:rowOff>
    </xdr:from>
    <xdr:to>
      <xdr:col>8</xdr:col>
      <xdr:colOff>78316</xdr:colOff>
      <xdr:row>5</xdr:row>
      <xdr:rowOff>188595</xdr:rowOff>
    </xdr:to>
    <xdr:pic>
      <xdr:nvPicPr>
        <xdr:cNvPr id="5" name="Imagem 4" descr="Museu da Bíblia: Nota de Esclarecimento | CAU/D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037" b="28721"/>
        <a:stretch/>
      </xdr:blipFill>
      <xdr:spPr bwMode="auto">
        <a:xfrm>
          <a:off x="8393641" y="7620"/>
          <a:ext cx="3244215" cy="1369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M54"/>
  <sheetViews>
    <sheetView view="pageBreakPreview" zoomScale="120" zoomScaleNormal="100" zoomScaleSheetLayoutView="120" workbookViewId="0">
      <selection activeCell="I1" sqref="A1:I2"/>
    </sheetView>
  </sheetViews>
  <sheetFormatPr defaultColWidth="9.140625" defaultRowHeight="12.75"/>
  <cols>
    <col min="1" max="9" width="10.7109375" style="77" customWidth="1"/>
    <col min="10" max="16384" width="9.140625" style="77"/>
  </cols>
  <sheetData>
    <row r="1" spans="1:13" ht="15" customHeight="1">
      <c r="A1" s="263"/>
      <c r="B1" s="264"/>
      <c r="C1" s="264"/>
      <c r="D1" s="264"/>
      <c r="E1" s="264"/>
      <c r="F1" s="264"/>
      <c r="G1" s="264"/>
      <c r="H1" s="264"/>
      <c r="I1" s="264"/>
    </row>
    <row r="2" spans="1:13" ht="15" customHeight="1">
      <c r="A2" s="261"/>
      <c r="B2" s="262"/>
      <c r="C2" s="262"/>
      <c r="D2" s="262"/>
      <c r="E2" s="262"/>
      <c r="F2" s="262"/>
      <c r="G2" s="262"/>
      <c r="H2" s="262"/>
      <c r="I2" s="262"/>
    </row>
    <row r="3" spans="1:13" ht="3" hidden="1" customHeight="1">
      <c r="A3" s="119"/>
      <c r="B3" s="120"/>
      <c r="C3" s="120"/>
      <c r="D3" s="120"/>
      <c r="E3" s="120"/>
      <c r="F3" s="120"/>
      <c r="G3" s="120"/>
      <c r="H3" s="120"/>
      <c r="I3" s="120"/>
    </row>
    <row r="4" spans="1:13" s="121" customFormat="1" ht="33" customHeight="1">
      <c r="A4" s="290"/>
      <c r="B4" s="291"/>
      <c r="C4" s="291"/>
      <c r="D4" s="291"/>
      <c r="E4" s="291"/>
      <c r="F4" s="291"/>
      <c r="G4" s="291"/>
      <c r="H4" s="291"/>
      <c r="I4" s="291"/>
    </row>
    <row r="5" spans="1:13" ht="30.75" customHeight="1">
      <c r="A5" s="290"/>
      <c r="B5" s="291"/>
      <c r="C5" s="291"/>
      <c r="D5" s="291"/>
      <c r="E5" s="291"/>
      <c r="F5" s="291"/>
      <c r="G5" s="291"/>
      <c r="H5" s="291"/>
      <c r="I5" s="291"/>
    </row>
    <row r="6" spans="1:13" ht="15" customHeight="1">
      <c r="A6" s="261"/>
      <c r="B6" s="262"/>
      <c r="C6" s="262"/>
      <c r="D6" s="262"/>
      <c r="E6" s="262"/>
      <c r="F6" s="262"/>
      <c r="G6" s="262"/>
      <c r="H6" s="262"/>
      <c r="I6" s="262"/>
    </row>
    <row r="7" spans="1:13" ht="12.75" customHeight="1">
      <c r="A7" s="93"/>
      <c r="B7" s="92"/>
      <c r="C7" s="92"/>
      <c r="D7" s="92"/>
      <c r="E7" s="92"/>
      <c r="F7" s="92"/>
      <c r="G7" s="92"/>
      <c r="H7" s="92"/>
      <c r="I7" s="92"/>
    </row>
    <row r="8" spans="1:13" ht="12.75" customHeight="1">
      <c r="A8" s="93"/>
      <c r="B8" s="92"/>
      <c r="C8" s="92"/>
      <c r="D8" s="92"/>
      <c r="E8" s="92"/>
      <c r="F8" s="92"/>
      <c r="G8" s="92"/>
      <c r="H8" s="92"/>
      <c r="I8" s="92"/>
    </row>
    <row r="9" spans="1:13" ht="12.75" customHeight="1">
      <c r="A9" s="91"/>
      <c r="B9" s="292" t="s">
        <v>0</v>
      </c>
      <c r="C9" s="292"/>
      <c r="D9" s="292"/>
      <c r="E9" s="292"/>
      <c r="F9" s="292"/>
      <c r="G9" s="292"/>
      <c r="H9" s="292"/>
      <c r="I9" s="90"/>
    </row>
    <row r="10" spans="1:13" ht="12.75" customHeight="1">
      <c r="A10" s="91"/>
      <c r="B10" s="292"/>
      <c r="C10" s="292"/>
      <c r="D10" s="292"/>
      <c r="E10" s="292"/>
      <c r="F10" s="292"/>
      <c r="G10" s="292"/>
      <c r="H10" s="292"/>
      <c r="I10" s="90"/>
    </row>
    <row r="11" spans="1:13" ht="12.75" customHeight="1">
      <c r="A11" s="91"/>
      <c r="B11" s="292"/>
      <c r="C11" s="292"/>
      <c r="D11" s="292"/>
      <c r="E11" s="292"/>
      <c r="F11" s="292"/>
      <c r="G11" s="292"/>
      <c r="H11" s="292"/>
      <c r="I11" s="90"/>
    </row>
    <row r="12" spans="1:13" ht="12.75" customHeight="1">
      <c r="A12" s="91"/>
      <c r="B12" s="292"/>
      <c r="C12" s="292"/>
      <c r="D12" s="292"/>
      <c r="E12" s="292"/>
      <c r="F12" s="292"/>
      <c r="G12" s="292"/>
      <c r="H12" s="292"/>
      <c r="I12" s="90"/>
      <c r="M12"/>
    </row>
    <row r="13" spans="1:13" ht="12.75" customHeight="1">
      <c r="A13" s="91"/>
      <c r="B13" s="292"/>
      <c r="C13" s="292"/>
      <c r="D13" s="292"/>
      <c r="E13" s="292"/>
      <c r="F13" s="292"/>
      <c r="G13" s="292"/>
      <c r="H13" s="292"/>
      <c r="I13" s="90"/>
    </row>
    <row r="14" spans="1:13" ht="12.75" customHeight="1">
      <c r="A14" s="91"/>
      <c r="B14" s="292"/>
      <c r="C14" s="292"/>
      <c r="D14" s="292"/>
      <c r="E14" s="292"/>
      <c r="F14" s="292"/>
      <c r="G14" s="292"/>
      <c r="H14" s="292"/>
      <c r="I14" s="90"/>
    </row>
    <row r="15" spans="1:13" ht="12.75" customHeight="1">
      <c r="A15" s="91"/>
      <c r="B15" s="292"/>
      <c r="C15" s="292"/>
      <c r="D15" s="292"/>
      <c r="E15" s="292"/>
      <c r="F15" s="292"/>
      <c r="G15" s="292"/>
      <c r="H15" s="292"/>
      <c r="I15" s="90"/>
    </row>
    <row r="16" spans="1:13" ht="12.75" customHeight="1">
      <c r="A16" s="91"/>
      <c r="B16" s="292"/>
      <c r="C16" s="292"/>
      <c r="D16" s="292"/>
      <c r="E16" s="292"/>
      <c r="F16" s="292"/>
      <c r="G16" s="292"/>
      <c r="H16" s="292"/>
      <c r="I16" s="90"/>
    </row>
    <row r="17" spans="1:9" ht="12.75" customHeight="1">
      <c r="A17" s="91"/>
      <c r="B17" s="292"/>
      <c r="C17" s="292"/>
      <c r="D17" s="292"/>
      <c r="E17" s="292"/>
      <c r="F17" s="292"/>
      <c r="G17" s="292"/>
      <c r="H17" s="292"/>
      <c r="I17" s="90"/>
    </row>
    <row r="18" spans="1:9" ht="64.5" customHeight="1">
      <c r="A18" s="91"/>
      <c r="B18" s="292"/>
      <c r="C18" s="292"/>
      <c r="D18" s="292"/>
      <c r="E18" s="292"/>
      <c r="F18" s="292"/>
      <c r="G18" s="292"/>
      <c r="H18" s="292"/>
      <c r="I18" s="90"/>
    </row>
    <row r="19" spans="1:9">
      <c r="A19" s="87"/>
      <c r="B19" s="86"/>
      <c r="C19" s="86"/>
      <c r="D19" s="86"/>
      <c r="E19" s="86"/>
      <c r="F19" s="86"/>
      <c r="G19" s="86"/>
      <c r="H19" s="86"/>
      <c r="I19" s="86"/>
    </row>
    <row r="20" spans="1:9">
      <c r="A20" s="87"/>
      <c r="B20" s="86"/>
      <c r="C20" s="86"/>
      <c r="D20" s="86"/>
      <c r="E20" s="86"/>
      <c r="F20" s="86"/>
      <c r="G20" s="86"/>
      <c r="H20" s="86"/>
      <c r="I20" s="86"/>
    </row>
    <row r="21" spans="1:9">
      <c r="A21" s="89"/>
      <c r="B21" s="293" t="s">
        <v>1</v>
      </c>
      <c r="C21" s="293"/>
      <c r="D21" s="293"/>
      <c r="E21" s="293"/>
      <c r="F21" s="293"/>
      <c r="G21" s="293"/>
      <c r="H21" s="293"/>
      <c r="I21" s="88"/>
    </row>
    <row r="22" spans="1:9">
      <c r="A22" s="89"/>
      <c r="B22" s="293"/>
      <c r="C22" s="293"/>
      <c r="D22" s="293"/>
      <c r="E22" s="293"/>
      <c r="F22" s="293"/>
      <c r="G22" s="293"/>
      <c r="H22" s="293"/>
      <c r="I22" s="88"/>
    </row>
    <row r="23" spans="1:9">
      <c r="A23" s="89"/>
      <c r="B23" s="293"/>
      <c r="C23" s="293"/>
      <c r="D23" s="293"/>
      <c r="E23" s="293"/>
      <c r="F23" s="293"/>
      <c r="G23" s="293"/>
      <c r="H23" s="293"/>
      <c r="I23" s="88"/>
    </row>
    <row r="24" spans="1:9">
      <c r="A24" s="89"/>
      <c r="B24" s="293"/>
      <c r="C24" s="293"/>
      <c r="D24" s="293"/>
      <c r="E24" s="293"/>
      <c r="F24" s="293"/>
      <c r="G24" s="293"/>
      <c r="H24" s="293"/>
      <c r="I24" s="88"/>
    </row>
    <row r="25" spans="1:9">
      <c r="A25" s="89"/>
      <c r="B25" s="293"/>
      <c r="C25" s="293"/>
      <c r="D25" s="293"/>
      <c r="E25" s="293"/>
      <c r="F25" s="293"/>
      <c r="G25" s="293"/>
      <c r="H25" s="293"/>
      <c r="I25" s="88"/>
    </row>
    <row r="26" spans="1:9">
      <c r="A26" s="89"/>
      <c r="B26" s="293"/>
      <c r="C26" s="293"/>
      <c r="D26" s="293"/>
      <c r="E26" s="293"/>
      <c r="F26" s="293"/>
      <c r="G26" s="293"/>
      <c r="H26" s="293"/>
      <c r="I26" s="88"/>
    </row>
    <row r="27" spans="1:9">
      <c r="A27" s="87"/>
      <c r="B27" s="86"/>
      <c r="C27" s="86"/>
      <c r="D27" s="86"/>
      <c r="E27" s="86"/>
      <c r="F27" s="86"/>
      <c r="G27" s="86"/>
      <c r="H27" s="86"/>
      <c r="I27" s="86"/>
    </row>
    <row r="28" spans="1:9">
      <c r="A28" s="87"/>
      <c r="B28" s="86"/>
      <c r="C28" s="86"/>
      <c r="D28" s="86"/>
      <c r="E28" s="86"/>
      <c r="F28" s="86"/>
      <c r="G28" s="86"/>
      <c r="H28" s="86"/>
      <c r="I28" s="86"/>
    </row>
    <row r="29" spans="1:9">
      <c r="A29" s="87"/>
      <c r="B29" s="86"/>
      <c r="C29" s="86"/>
      <c r="D29" s="86"/>
      <c r="E29" s="86"/>
      <c r="F29" s="86"/>
      <c r="G29" s="86"/>
      <c r="H29" s="86"/>
      <c r="I29" s="86"/>
    </row>
    <row r="30" spans="1:9">
      <c r="A30" s="87"/>
      <c r="B30" s="86"/>
      <c r="C30" s="86"/>
      <c r="D30" s="86"/>
      <c r="E30" s="86"/>
      <c r="F30" s="86"/>
      <c r="G30" s="86"/>
      <c r="H30" s="86"/>
      <c r="I30" s="86"/>
    </row>
    <row r="31" spans="1:9" ht="12.75" customHeight="1">
      <c r="A31" s="87"/>
      <c r="B31" s="296"/>
      <c r="C31" s="296"/>
      <c r="D31" s="296"/>
      <c r="E31" s="296"/>
      <c r="F31" s="296"/>
      <c r="G31" s="296"/>
      <c r="H31" s="296"/>
      <c r="I31" s="86"/>
    </row>
    <row r="32" spans="1:9">
      <c r="A32" s="87"/>
      <c r="B32" s="296"/>
      <c r="C32" s="296"/>
      <c r="D32" s="296"/>
      <c r="E32" s="296"/>
      <c r="F32" s="296"/>
      <c r="G32" s="296"/>
      <c r="H32" s="296"/>
      <c r="I32" s="86"/>
    </row>
    <row r="33" spans="1:9" s="79" customFormat="1" ht="24.95" customHeight="1">
      <c r="A33" s="85"/>
      <c r="B33" s="296"/>
      <c r="C33" s="296"/>
      <c r="D33" s="296"/>
      <c r="E33" s="296"/>
      <c r="F33" s="296"/>
      <c r="G33" s="296"/>
      <c r="H33" s="296"/>
      <c r="I33" s="84"/>
    </row>
    <row r="34" spans="1:9" s="79" customFormat="1" ht="20.100000000000001" customHeight="1">
      <c r="A34" s="81"/>
      <c r="B34" s="296"/>
      <c r="C34" s="296"/>
      <c r="D34" s="296"/>
      <c r="E34" s="296"/>
      <c r="F34" s="296"/>
      <c r="G34" s="296"/>
      <c r="H34" s="296"/>
      <c r="I34" s="80"/>
    </row>
    <row r="35" spans="1:9" s="79" customFormat="1" ht="24.95" customHeight="1">
      <c r="A35" s="85"/>
      <c r="B35" s="296"/>
      <c r="C35" s="296"/>
      <c r="D35" s="296"/>
      <c r="E35" s="296"/>
      <c r="F35" s="296"/>
      <c r="G35" s="296"/>
      <c r="H35" s="296"/>
      <c r="I35" s="84"/>
    </row>
    <row r="36" spans="1:9" s="79" customFormat="1" ht="12.75" customHeight="1">
      <c r="A36" s="83"/>
      <c r="B36" s="296"/>
      <c r="C36" s="296"/>
      <c r="D36" s="296"/>
      <c r="E36" s="296"/>
      <c r="F36" s="296"/>
      <c r="G36" s="296"/>
      <c r="H36" s="296"/>
      <c r="I36" s="82"/>
    </row>
    <row r="37" spans="1:9" s="79" customFormat="1" ht="12.75" customHeight="1">
      <c r="A37" s="83"/>
      <c r="B37" s="296"/>
      <c r="C37" s="296"/>
      <c r="D37" s="296"/>
      <c r="E37" s="296"/>
      <c r="F37" s="296"/>
      <c r="G37" s="296"/>
      <c r="H37" s="296"/>
      <c r="I37" s="82"/>
    </row>
    <row r="38" spans="1:9" s="79" customFormat="1" ht="12.75" customHeight="1">
      <c r="A38" s="83"/>
      <c r="B38" s="82"/>
      <c r="C38" s="82"/>
      <c r="D38" s="82"/>
      <c r="E38" s="82"/>
      <c r="F38" s="82"/>
      <c r="G38" s="82"/>
      <c r="H38" s="82"/>
      <c r="I38" s="82"/>
    </row>
    <row r="39" spans="1:9" s="79" customFormat="1" ht="12.75" customHeight="1">
      <c r="A39" s="83"/>
      <c r="B39" s="82"/>
      <c r="C39" s="82"/>
      <c r="D39" s="82"/>
      <c r="E39" s="82"/>
      <c r="F39" s="82"/>
      <c r="G39" s="82"/>
      <c r="H39" s="82"/>
      <c r="I39" s="82"/>
    </row>
    <row r="40" spans="1:9" s="79" customFormat="1" ht="12.75" customHeight="1">
      <c r="A40" s="83"/>
      <c r="B40" s="82"/>
      <c r="C40" s="82"/>
      <c r="D40" s="82"/>
      <c r="E40" s="82"/>
      <c r="F40" s="82"/>
      <c r="G40" s="82"/>
      <c r="H40" s="82"/>
      <c r="I40" s="82"/>
    </row>
    <row r="41" spans="1:9" s="79" customFormat="1" ht="12.75" customHeight="1">
      <c r="A41" s="297" t="s">
        <v>2</v>
      </c>
      <c r="B41" s="298"/>
      <c r="C41" s="298"/>
      <c r="D41" s="298"/>
      <c r="E41" s="298"/>
      <c r="F41" s="298"/>
      <c r="G41" s="298"/>
      <c r="H41" s="298"/>
      <c r="I41" s="298"/>
    </row>
    <row r="42" spans="1:9" s="79" customFormat="1" ht="12.75" customHeight="1">
      <c r="A42" s="297"/>
      <c r="B42" s="298"/>
      <c r="C42" s="298"/>
      <c r="D42" s="298"/>
      <c r="E42" s="298"/>
      <c r="F42" s="298"/>
      <c r="G42" s="298"/>
      <c r="H42" s="298"/>
      <c r="I42" s="298"/>
    </row>
    <row r="43" spans="1:9" s="79" customFormat="1" ht="12.75" customHeight="1">
      <c r="A43" s="297"/>
      <c r="B43" s="298"/>
      <c r="C43" s="298"/>
      <c r="D43" s="298"/>
      <c r="E43" s="298"/>
      <c r="F43" s="298"/>
      <c r="G43" s="298"/>
      <c r="H43" s="298"/>
      <c r="I43" s="298"/>
    </row>
    <row r="44" spans="1:9" s="79" customFormat="1" ht="24.95" customHeight="1">
      <c r="A44" s="297"/>
      <c r="B44" s="298"/>
      <c r="C44" s="298"/>
      <c r="D44" s="298"/>
      <c r="E44" s="298"/>
      <c r="F44" s="298"/>
      <c r="G44" s="298"/>
      <c r="H44" s="298"/>
      <c r="I44" s="298"/>
    </row>
    <row r="45" spans="1:9" ht="24.95" customHeight="1">
      <c r="A45" s="297"/>
      <c r="B45" s="298"/>
      <c r="C45" s="298"/>
      <c r="D45" s="298"/>
      <c r="E45" s="298"/>
      <c r="F45" s="298"/>
      <c r="G45" s="298"/>
      <c r="H45" s="298"/>
      <c r="I45" s="298"/>
    </row>
    <row r="46" spans="1:9" s="78" customFormat="1" ht="24.95" customHeight="1">
      <c r="A46" s="294"/>
      <c r="B46" s="295"/>
      <c r="C46" s="295"/>
      <c r="D46" s="295"/>
      <c r="E46" s="295"/>
      <c r="F46" s="295"/>
      <c r="G46" s="295"/>
      <c r="H46" s="295"/>
      <c r="I46" s="295"/>
    </row>
    <row r="47" spans="1:9" ht="24.95" customHeight="1">
      <c r="A47" s="259"/>
      <c r="B47" s="260"/>
      <c r="C47" s="260"/>
      <c r="D47" s="260"/>
      <c r="E47" s="260"/>
      <c r="F47" s="260"/>
      <c r="G47" s="260"/>
      <c r="H47" s="260"/>
      <c r="I47" s="260"/>
    </row>
    <row r="54" ht="19.5" customHeight="1"/>
  </sheetData>
  <mergeCells count="6">
    <mergeCell ref="A4:I5"/>
    <mergeCell ref="B9:H18"/>
    <mergeCell ref="B21:H26"/>
    <mergeCell ref="A46:I46"/>
    <mergeCell ref="B31:H37"/>
    <mergeCell ref="A41:I45"/>
  </mergeCells>
  <printOptions horizontalCentered="1" verticalCentered="1"/>
  <pageMargins left="0.25" right="0.25" top="0.75" bottom="0.75" header="0.3" footer="0.3"/>
  <pageSetup paperSize="9" scale="99" orientation="portrait" horizontalDpi="300" verticalDpi="300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G41"/>
  <sheetViews>
    <sheetView view="pageBreakPreview" topLeftCell="A28" zoomScaleNormal="100" zoomScaleSheetLayoutView="100" workbookViewId="0">
      <selection activeCell="K21" sqref="K21"/>
    </sheetView>
  </sheetViews>
  <sheetFormatPr defaultColWidth="9.140625" defaultRowHeight="12.75"/>
  <cols>
    <col min="1" max="1" width="5.7109375" style="94" customWidth="1"/>
    <col min="2" max="2" width="75.7109375" style="95" customWidth="1"/>
    <col min="3" max="3" width="5.7109375" style="117" customWidth="1"/>
    <col min="4" max="4" width="10.7109375" style="117" customWidth="1"/>
    <col min="5" max="5" width="7.140625" style="118" customWidth="1"/>
    <col min="6" max="6" width="14.140625" style="95" customWidth="1"/>
    <col min="7" max="7" width="6.85546875" style="96" customWidth="1"/>
    <col min="8" max="16384" width="9.140625" style="95"/>
  </cols>
  <sheetData>
    <row r="1" spans="1:7" ht="14.25" customHeight="1">
      <c r="A1" s="308" t="s">
        <v>3</v>
      </c>
      <c r="B1" s="308"/>
      <c r="C1" s="308"/>
      <c r="D1" s="308"/>
      <c r="E1" s="308"/>
      <c r="F1" s="308"/>
      <c r="G1" s="308"/>
    </row>
    <row r="2" spans="1:7" ht="60" customHeight="1">
      <c r="A2" s="309" t="s">
        <v>4</v>
      </c>
      <c r="B2" s="309"/>
      <c r="C2" s="309"/>
      <c r="D2" s="309"/>
      <c r="E2" s="309"/>
      <c r="F2" s="309"/>
      <c r="G2" s="309"/>
    </row>
    <row r="3" spans="1:7" s="97" customFormat="1" ht="20.100000000000001" customHeight="1">
      <c r="A3" s="122"/>
      <c r="B3" s="123"/>
      <c r="C3" s="123"/>
      <c r="D3" s="123"/>
      <c r="E3" s="124"/>
      <c r="F3" s="123"/>
      <c r="G3" s="123"/>
    </row>
    <row r="4" spans="1:7" ht="15" customHeight="1">
      <c r="A4" s="311" t="s">
        <v>5</v>
      </c>
      <c r="B4" s="311"/>
      <c r="C4" s="311"/>
      <c r="D4" s="311"/>
      <c r="E4" s="311"/>
      <c r="F4" s="311"/>
      <c r="G4" s="124"/>
    </row>
    <row r="5" spans="1:7" ht="15" customHeight="1">
      <c r="A5" s="312" t="s">
        <v>6</v>
      </c>
      <c r="B5" s="312"/>
      <c r="C5" s="312"/>
      <c r="D5" s="312"/>
      <c r="E5" s="312"/>
      <c r="F5" s="312"/>
      <c r="G5" s="125"/>
    </row>
    <row r="6" spans="1:7" s="100" customFormat="1" ht="30" customHeight="1">
      <c r="A6" s="312" t="s">
        <v>7</v>
      </c>
      <c r="B6" s="312"/>
      <c r="C6" s="312"/>
      <c r="D6" s="312"/>
      <c r="E6" s="126"/>
      <c r="F6" s="310"/>
      <c r="G6" s="310"/>
    </row>
    <row r="7" spans="1:7" ht="15" customHeight="1">
      <c r="A7" s="123"/>
      <c r="B7" s="123"/>
      <c r="C7" s="123"/>
      <c r="D7" s="123"/>
      <c r="E7" s="123"/>
      <c r="F7" s="123"/>
      <c r="G7" s="123"/>
    </row>
    <row r="8" spans="1:7" ht="15" customHeight="1">
      <c r="C8" s="110"/>
      <c r="D8" s="110"/>
      <c r="E8" s="111"/>
    </row>
    <row r="9" spans="1:7" ht="15" customHeight="1">
      <c r="C9" s="110"/>
      <c r="D9" s="110"/>
      <c r="E9" s="111"/>
    </row>
    <row r="10" spans="1:7" ht="15" customHeight="1">
      <c r="A10" s="310" t="s">
        <v>8</v>
      </c>
      <c r="B10" s="310"/>
      <c r="C10" s="310"/>
      <c r="D10" s="310"/>
      <c r="E10" s="310"/>
      <c r="F10" s="310"/>
      <c r="G10" s="153"/>
    </row>
    <row r="11" spans="1:7" ht="15" customHeight="1">
      <c r="A11" s="307"/>
      <c r="B11" s="307"/>
      <c r="C11" s="307"/>
      <c r="D11" s="307"/>
      <c r="E11" s="307"/>
      <c r="F11" s="307"/>
      <c r="G11" s="307"/>
    </row>
    <row r="12" spans="1:7" ht="35.25" customHeight="1">
      <c r="A12" s="179"/>
      <c r="B12" s="306" t="s">
        <v>9</v>
      </c>
      <c r="C12" s="306"/>
      <c r="D12" s="306" t="s">
        <v>10</v>
      </c>
      <c r="E12" s="306"/>
      <c r="F12" s="306" t="s">
        <v>11</v>
      </c>
      <c r="G12" s="306"/>
    </row>
    <row r="13" spans="1:7" ht="24.95" customHeight="1">
      <c r="A13" s="174">
        <v>1</v>
      </c>
      <c r="B13" s="175" t="s">
        <v>12</v>
      </c>
      <c r="C13" s="176" t="s">
        <v>13</v>
      </c>
      <c r="D13" s="177">
        <f>(1+(D14/100)*(1+(D15/100)*(1+(D16/100)*(1+(D17/100)))))</f>
        <v>1.0419197704250001</v>
      </c>
      <c r="E13" s="177"/>
      <c r="F13" s="177">
        <f>(1+(F14/100)*(1+(F15/100)*(1+(F16/100)*(1+(F17/100)))))</f>
        <v>1.0422229324000001</v>
      </c>
      <c r="G13" s="178"/>
    </row>
    <row r="14" spans="1:7" ht="24.95" customHeight="1">
      <c r="A14" s="160" t="s">
        <v>14</v>
      </c>
      <c r="B14" s="161" t="s">
        <v>15</v>
      </c>
      <c r="C14" s="162" t="s">
        <v>16</v>
      </c>
      <c r="D14" s="167">
        <v>4.1500000000000004</v>
      </c>
      <c r="E14" s="168" t="s">
        <v>17</v>
      </c>
      <c r="F14" s="167">
        <v>4.18</v>
      </c>
      <c r="G14" s="169" t="s">
        <v>17</v>
      </c>
    </row>
    <row r="15" spans="1:7" ht="24.95" customHeight="1">
      <c r="A15" s="160" t="s">
        <v>18</v>
      </c>
      <c r="B15" s="161" t="s">
        <v>19</v>
      </c>
      <c r="C15" s="162" t="s">
        <v>20</v>
      </c>
      <c r="D15" s="167">
        <v>1</v>
      </c>
      <c r="E15" s="168" t="s">
        <v>17</v>
      </c>
      <c r="F15" s="167">
        <v>1</v>
      </c>
      <c r="G15" s="169" t="s">
        <v>17</v>
      </c>
    </row>
    <row r="16" spans="1:7" s="98" customFormat="1" ht="24.95" customHeight="1">
      <c r="A16" s="160" t="s">
        <v>21</v>
      </c>
      <c r="B16" s="161" t="s">
        <v>22</v>
      </c>
      <c r="C16" s="162" t="s">
        <v>23</v>
      </c>
      <c r="D16" s="167">
        <v>1.1000000000000001</v>
      </c>
      <c r="E16" s="168" t="s">
        <v>17</v>
      </c>
      <c r="F16" s="167">
        <v>1.18</v>
      </c>
      <c r="G16" s="169" t="s">
        <v>17</v>
      </c>
    </row>
    <row r="17" spans="1:7" s="98" customFormat="1" ht="24.95" customHeight="1">
      <c r="A17" s="160" t="s">
        <v>24</v>
      </c>
      <c r="B17" s="163" t="s">
        <v>25</v>
      </c>
      <c r="C17" s="162" t="s">
        <v>26</v>
      </c>
      <c r="D17" s="167">
        <v>4.5</v>
      </c>
      <c r="E17" s="168" t="s">
        <v>17</v>
      </c>
      <c r="F17" s="167">
        <v>0</v>
      </c>
      <c r="G17" s="169" t="s">
        <v>17</v>
      </c>
    </row>
    <row r="18" spans="1:7" s="98" customFormat="1" ht="24.95" customHeight="1">
      <c r="A18" s="157">
        <v>2</v>
      </c>
      <c r="B18" s="158" t="s">
        <v>27</v>
      </c>
      <c r="C18" s="159" t="s">
        <v>28</v>
      </c>
      <c r="D18" s="170">
        <v>7.4</v>
      </c>
      <c r="E18" s="170" t="s">
        <v>17</v>
      </c>
      <c r="F18" s="170">
        <f>F19+F20+F21+F22</f>
        <v>3.65</v>
      </c>
      <c r="G18" s="171" t="s">
        <v>17</v>
      </c>
    </row>
    <row r="19" spans="1:7" s="98" customFormat="1" ht="24.95" customHeight="1">
      <c r="A19" s="160" t="s">
        <v>29</v>
      </c>
      <c r="B19" s="163" t="s">
        <v>30</v>
      </c>
      <c r="C19" s="162" t="s">
        <v>31</v>
      </c>
      <c r="D19" s="167">
        <v>3</v>
      </c>
      <c r="E19" s="168" t="s">
        <v>17</v>
      </c>
      <c r="F19" s="167">
        <v>3</v>
      </c>
      <c r="G19" s="169" t="s">
        <v>17</v>
      </c>
    </row>
    <row r="20" spans="1:7" s="98" customFormat="1" ht="24.95" customHeight="1">
      <c r="A20" s="160" t="s">
        <v>32</v>
      </c>
      <c r="B20" s="163" t="s">
        <v>33</v>
      </c>
      <c r="C20" s="162" t="s">
        <v>34</v>
      </c>
      <c r="D20" s="167">
        <v>5</v>
      </c>
      <c r="E20" s="168" t="s">
        <v>17</v>
      </c>
      <c r="F20" s="167">
        <v>0</v>
      </c>
      <c r="G20" s="169" t="s">
        <v>17</v>
      </c>
    </row>
    <row r="21" spans="1:7" s="98" customFormat="1" ht="24.95" customHeight="1">
      <c r="A21" s="160" t="s">
        <v>35</v>
      </c>
      <c r="B21" s="163" t="s">
        <v>36</v>
      </c>
      <c r="C21" s="162" t="s">
        <v>37</v>
      </c>
      <c r="D21" s="167">
        <v>0.65</v>
      </c>
      <c r="E21" s="168" t="s">
        <v>17</v>
      </c>
      <c r="F21" s="167">
        <v>0.65</v>
      </c>
      <c r="G21" s="169" t="s">
        <v>17</v>
      </c>
    </row>
    <row r="22" spans="1:7" s="98" customFormat="1" ht="24.95" customHeight="1">
      <c r="A22" s="160" t="s">
        <v>38</v>
      </c>
      <c r="B22" s="163" t="s">
        <v>39</v>
      </c>
      <c r="C22" s="162" t="s">
        <v>40</v>
      </c>
      <c r="D22" s="167">
        <v>0</v>
      </c>
      <c r="E22" s="168" t="s">
        <v>17</v>
      </c>
      <c r="F22" s="167">
        <v>0</v>
      </c>
      <c r="G22" s="169" t="s">
        <v>17</v>
      </c>
    </row>
    <row r="23" spans="1:7" s="98" customFormat="1" ht="24.95" customHeight="1">
      <c r="A23" s="164"/>
      <c r="B23" s="165" t="s">
        <v>41</v>
      </c>
      <c r="C23" s="166"/>
      <c r="D23" s="172">
        <f>((((1+(D14/100))*(1+(D15/100))*(1+(D16/100))*(1+(D17/100)))/((1-(D18/100)))-1)*100)</f>
        <v>20.015436061015123</v>
      </c>
      <c r="E23" s="172" t="s">
        <v>17</v>
      </c>
      <c r="F23" s="172">
        <f>((((1+(F14/100))*(1+(F15/100))*(1+(F16/100))*(1+(F17/100)))/((1-(F18/100)))-1)*100)</f>
        <v>10.496540985988601</v>
      </c>
      <c r="G23" s="173" t="s">
        <v>17</v>
      </c>
    </row>
    <row r="24" spans="1:7" s="98" customFormat="1" ht="15" customHeight="1">
      <c r="A24" s="101"/>
      <c r="B24" s="99"/>
      <c r="G24" s="102"/>
    </row>
    <row r="25" spans="1:7" s="98" customFormat="1" ht="15" customHeight="1">
      <c r="A25" s="101"/>
      <c r="B25" s="99"/>
      <c r="G25" s="102"/>
    </row>
    <row r="26" spans="1:7" s="98" customFormat="1" ht="15" customHeight="1">
      <c r="A26" s="101"/>
      <c r="B26" s="99"/>
      <c r="G26" s="102"/>
    </row>
    <row r="27" spans="1:7" s="98" customFormat="1" ht="15" customHeight="1">
      <c r="A27" s="101"/>
      <c r="B27" s="99"/>
      <c r="G27" s="102"/>
    </row>
    <row r="28" spans="1:7" s="99" customFormat="1" ht="27" customHeight="1">
      <c r="A28" s="101"/>
      <c r="C28" s="98"/>
      <c r="D28" s="98"/>
      <c r="E28" s="98"/>
      <c r="F28" s="98"/>
      <c r="G28" s="102"/>
    </row>
    <row r="29" spans="1:7" s="96" customFormat="1">
      <c r="A29" s="101"/>
      <c r="B29" s="99"/>
      <c r="C29" s="98"/>
      <c r="D29" s="98"/>
      <c r="E29" s="98"/>
      <c r="F29" s="98"/>
      <c r="G29" s="102"/>
    </row>
    <row r="30" spans="1:7" ht="76.5" customHeight="1">
      <c r="A30" s="101"/>
      <c r="B30" s="99"/>
      <c r="C30" s="98"/>
      <c r="D30" s="98"/>
      <c r="E30" s="98"/>
      <c r="F30" s="98"/>
      <c r="G30" s="102"/>
    </row>
    <row r="31" spans="1:7">
      <c r="A31" s="101"/>
      <c r="B31" s="99"/>
      <c r="C31" s="98"/>
      <c r="D31" s="98"/>
      <c r="E31" s="98"/>
      <c r="F31" s="98"/>
      <c r="G31" s="102"/>
    </row>
    <row r="32" spans="1:7">
      <c r="A32" s="101"/>
      <c r="B32" s="99"/>
      <c r="C32" s="98"/>
      <c r="D32" s="98"/>
      <c r="E32" s="98"/>
      <c r="F32" s="98"/>
      <c r="G32" s="102"/>
    </row>
    <row r="33" spans="1:7" ht="15.75">
      <c r="A33" s="103"/>
      <c r="B33" s="299" t="s">
        <v>42</v>
      </c>
      <c r="C33" s="299"/>
      <c r="D33" s="299"/>
      <c r="E33" s="299"/>
      <c r="F33" s="299"/>
      <c r="G33" s="104"/>
    </row>
    <row r="34" spans="1:7" ht="15.75">
      <c r="A34" s="105"/>
      <c r="B34" s="300" t="s">
        <v>43</v>
      </c>
      <c r="C34" s="300"/>
      <c r="D34" s="300"/>
      <c r="E34" s="300"/>
      <c r="F34" s="300"/>
      <c r="G34" s="106"/>
    </row>
    <row r="35" spans="1:7" ht="108" customHeight="1">
      <c r="A35" s="105"/>
      <c r="B35" s="301" t="s">
        <v>44</v>
      </c>
      <c r="C35" s="301"/>
      <c r="D35" s="301"/>
      <c r="E35" s="301"/>
      <c r="F35" s="301"/>
      <c r="G35" s="106"/>
    </row>
    <row r="36" spans="1:7">
      <c r="A36" s="107"/>
      <c r="B36" s="108"/>
      <c r="C36" s="108"/>
      <c r="D36" s="108"/>
      <c r="E36" s="108"/>
      <c r="F36" s="108"/>
      <c r="G36" s="109"/>
    </row>
    <row r="37" spans="1:7">
      <c r="A37" s="107"/>
      <c r="C37" s="110"/>
      <c r="D37" s="110"/>
      <c r="E37" s="111"/>
      <c r="G37" s="112"/>
    </row>
    <row r="38" spans="1:7">
      <c r="A38" s="107"/>
      <c r="B38" s="302" t="s">
        <v>45</v>
      </c>
      <c r="C38" s="302"/>
      <c r="D38" s="302"/>
      <c r="E38" s="302"/>
      <c r="F38" s="302"/>
      <c r="G38" s="113"/>
    </row>
    <row r="39" spans="1:7">
      <c r="A39" s="107"/>
      <c r="B39" s="303" t="s">
        <v>46</v>
      </c>
      <c r="C39" s="304"/>
      <c r="D39" s="304"/>
      <c r="E39" s="304"/>
      <c r="F39" s="304"/>
      <c r="G39" s="114"/>
    </row>
    <row r="40" spans="1:7">
      <c r="A40" s="107"/>
      <c r="B40" s="304"/>
      <c r="C40" s="304"/>
      <c r="D40" s="304"/>
      <c r="E40" s="304"/>
      <c r="F40" s="304"/>
      <c r="G40" s="114"/>
    </row>
    <row r="41" spans="1:7" ht="30" customHeight="1">
      <c r="A41" s="115"/>
      <c r="B41" s="305"/>
      <c r="C41" s="305"/>
      <c r="D41" s="305"/>
      <c r="E41" s="305"/>
      <c r="F41" s="305"/>
      <c r="G41" s="116"/>
    </row>
  </sheetData>
  <mergeCells count="18">
    <mergeCell ref="B12:C12"/>
    <mergeCell ref="A11:G11"/>
    <mergeCell ref="D12:E12"/>
    <mergeCell ref="F12:G12"/>
    <mergeCell ref="A1:G1"/>
    <mergeCell ref="A2:G2"/>
    <mergeCell ref="F6:G6"/>
    <mergeCell ref="A10:B10"/>
    <mergeCell ref="C10:D10"/>
    <mergeCell ref="E10:F10"/>
    <mergeCell ref="A4:F4"/>
    <mergeCell ref="A5:F5"/>
    <mergeCell ref="A6:D6"/>
    <mergeCell ref="B33:F33"/>
    <mergeCell ref="B34:F34"/>
    <mergeCell ref="B35:F35"/>
    <mergeCell ref="B38:F38"/>
    <mergeCell ref="B39:F41"/>
  </mergeCells>
  <printOptions horizontalCentered="1"/>
  <pageMargins left="0.6692913385826772" right="0.51181102362204722" top="0.78740157480314965" bottom="0.78740157480314965" header="0.62992125984251968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Z74"/>
  <sheetViews>
    <sheetView topLeftCell="D1" zoomScale="50" zoomScaleNormal="50" workbookViewId="0">
      <selection activeCell="T9" sqref="T9"/>
    </sheetView>
  </sheetViews>
  <sheetFormatPr defaultColWidth="9.140625" defaultRowHeight="12.75" customHeight="1"/>
  <cols>
    <col min="1" max="1" width="5.28515625" style="5" customWidth="1"/>
    <col min="2" max="2" width="26.7109375" style="8" customWidth="1"/>
    <col min="3" max="3" width="93.5703125" style="6" customWidth="1"/>
    <col min="4" max="4" width="23.28515625" style="7" customWidth="1"/>
    <col min="5" max="5" width="21.7109375" style="6" customWidth="1"/>
    <col min="6" max="20" width="20.7109375" style="6" customWidth="1"/>
    <col min="21" max="21" width="17.28515625" style="6" customWidth="1"/>
    <col min="22" max="23" width="9" style="6" customWidth="1"/>
    <col min="24" max="26" width="10.5703125" style="6" bestFit="1" customWidth="1"/>
    <col min="27" max="27" width="9" style="6" customWidth="1"/>
    <col min="28" max="28" width="11.7109375" style="6" customWidth="1"/>
    <col min="29" max="260" width="9" style="6" customWidth="1"/>
    <col min="261" max="16384" width="9.140625" style="5"/>
  </cols>
  <sheetData>
    <row r="1" spans="2:21" ht="15.75" customHeight="1" thickBot="1"/>
    <row r="2" spans="2:21" ht="22.5" customHeight="1">
      <c r="B2" s="254"/>
      <c r="C2" s="255"/>
      <c r="D2" s="256"/>
      <c r="E2" s="255"/>
      <c r="F2" s="25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2"/>
    </row>
    <row r="3" spans="2:21" ht="34.5" customHeight="1">
      <c r="B3" s="257"/>
      <c r="C3" s="249" t="s">
        <v>47</v>
      </c>
      <c r="D3" s="250"/>
      <c r="E3" s="250"/>
      <c r="F3" s="250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</row>
    <row r="4" spans="2:21" ht="15.75" customHeight="1">
      <c r="B4" s="257"/>
      <c r="C4" s="250" t="s">
        <v>3</v>
      </c>
      <c r="D4" s="250"/>
      <c r="E4" s="250"/>
      <c r="F4" s="25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2:21" ht="15.75" customHeight="1">
      <c r="B5" s="257"/>
      <c r="C5" s="250" t="s">
        <v>48</v>
      </c>
      <c r="D5" s="250"/>
      <c r="E5" s="250"/>
      <c r="F5" s="25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</row>
    <row r="6" spans="2:21" ht="17.25" customHeight="1">
      <c r="B6" s="257"/>
      <c r="C6" s="250" t="s">
        <v>49</v>
      </c>
      <c r="D6" s="250"/>
      <c r="E6" s="250"/>
      <c r="F6" s="25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2:21" ht="42.75" customHeight="1">
      <c r="B7" s="258"/>
      <c r="C7" s="251" t="s">
        <v>50</v>
      </c>
      <c r="D7" s="251"/>
      <c r="E7" s="251"/>
      <c r="F7" s="252" t="s">
        <v>51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2:21" ht="117.75" customHeight="1">
      <c r="B8" s="313" t="s">
        <v>52</v>
      </c>
      <c r="C8" s="314"/>
      <c r="D8" s="314"/>
      <c r="E8" s="314"/>
      <c r="F8" s="3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</row>
    <row r="9" spans="2:21" ht="24.95" customHeight="1">
      <c r="B9" s="75"/>
      <c r="C9" s="72" t="s">
        <v>53</v>
      </c>
      <c r="D9" s="76">
        <v>45289</v>
      </c>
      <c r="E9" s="76">
        <v>45299</v>
      </c>
      <c r="F9" s="76">
        <v>45306</v>
      </c>
      <c r="G9" s="76">
        <v>45647</v>
      </c>
      <c r="H9" s="76">
        <v>45320</v>
      </c>
      <c r="I9" s="76">
        <v>45327</v>
      </c>
      <c r="J9" s="76">
        <v>45334</v>
      </c>
      <c r="K9" s="76">
        <v>45341</v>
      </c>
      <c r="L9" s="76">
        <v>45348</v>
      </c>
      <c r="M9" s="76">
        <v>45355</v>
      </c>
      <c r="N9" s="76">
        <v>45362</v>
      </c>
      <c r="O9" s="76">
        <v>45369</v>
      </c>
      <c r="P9" s="76">
        <v>45376</v>
      </c>
      <c r="Q9" s="76">
        <v>45383</v>
      </c>
      <c r="R9" s="76">
        <v>45390</v>
      </c>
      <c r="S9" s="76">
        <v>45397</v>
      </c>
      <c r="T9" s="76">
        <v>45404</v>
      </c>
      <c r="U9" s="16"/>
    </row>
    <row r="10" spans="2:21" ht="48.75" customHeight="1">
      <c r="B10" s="17"/>
      <c r="C10" s="61"/>
      <c r="D10" s="18"/>
      <c r="E10" s="152" t="s">
        <v>54</v>
      </c>
      <c r="F10" s="152" t="s">
        <v>54</v>
      </c>
      <c r="G10" s="152" t="s">
        <v>54</v>
      </c>
      <c r="H10" s="152" t="s">
        <v>54</v>
      </c>
      <c r="I10" s="152" t="s">
        <v>54</v>
      </c>
      <c r="J10" s="152" t="s">
        <v>54</v>
      </c>
      <c r="K10" s="152" t="s">
        <v>54</v>
      </c>
      <c r="L10" s="152" t="s">
        <v>54</v>
      </c>
      <c r="M10" s="152" t="s">
        <v>54</v>
      </c>
      <c r="N10" s="152" t="s">
        <v>54</v>
      </c>
      <c r="O10" s="152" t="s">
        <v>54</v>
      </c>
      <c r="P10" s="152" t="s">
        <v>54</v>
      </c>
      <c r="Q10" s="152" t="s">
        <v>54</v>
      </c>
      <c r="R10" s="152" t="s">
        <v>54</v>
      </c>
      <c r="S10" s="152" t="s">
        <v>54</v>
      </c>
      <c r="T10" s="152" t="s">
        <v>54</v>
      </c>
      <c r="U10" s="19"/>
    </row>
    <row r="11" spans="2:21" ht="20.100000000000001" customHeight="1">
      <c r="B11" s="143"/>
      <c r="C11" s="62" t="s">
        <v>55</v>
      </c>
      <c r="D11" s="127">
        <f>D9</f>
        <v>45289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16"/>
    </row>
    <row r="12" spans="2:21" ht="20.100000000000001" customHeight="1">
      <c r="B12" s="143"/>
      <c r="C12" s="62" t="s">
        <v>56</v>
      </c>
      <c r="D12" s="128"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16"/>
    </row>
    <row r="13" spans="2:21" ht="20.100000000000001" customHeight="1">
      <c r="B13" s="144"/>
      <c r="C13" s="62" t="s">
        <v>57</v>
      </c>
      <c r="D13" s="127">
        <f>D11</f>
        <v>45289</v>
      </c>
      <c r="E13" s="127">
        <f t="shared" ref="E13:T13" si="0">IF(E11="",E9,E11)</f>
        <v>45299</v>
      </c>
      <c r="F13" s="127">
        <f t="shared" si="0"/>
        <v>45306</v>
      </c>
      <c r="G13" s="127">
        <f t="shared" si="0"/>
        <v>45647</v>
      </c>
      <c r="H13" s="127">
        <f t="shared" si="0"/>
        <v>45320</v>
      </c>
      <c r="I13" s="127">
        <f t="shared" si="0"/>
        <v>45327</v>
      </c>
      <c r="J13" s="127">
        <f t="shared" si="0"/>
        <v>45334</v>
      </c>
      <c r="K13" s="127">
        <f t="shared" si="0"/>
        <v>45341</v>
      </c>
      <c r="L13" s="127">
        <f t="shared" si="0"/>
        <v>45348</v>
      </c>
      <c r="M13" s="127">
        <f t="shared" si="0"/>
        <v>45355</v>
      </c>
      <c r="N13" s="127">
        <f t="shared" si="0"/>
        <v>45362</v>
      </c>
      <c r="O13" s="127">
        <f t="shared" si="0"/>
        <v>45369</v>
      </c>
      <c r="P13" s="127">
        <f t="shared" si="0"/>
        <v>45376</v>
      </c>
      <c r="Q13" s="127">
        <f t="shared" si="0"/>
        <v>45383</v>
      </c>
      <c r="R13" s="127">
        <f t="shared" si="0"/>
        <v>45390</v>
      </c>
      <c r="S13" s="127">
        <f t="shared" si="0"/>
        <v>45397</v>
      </c>
      <c r="T13" s="127">
        <f t="shared" si="0"/>
        <v>45404</v>
      </c>
      <c r="U13" s="20"/>
    </row>
    <row r="14" spans="2:21" ht="20.100000000000001" customHeight="1">
      <c r="B14" s="144"/>
      <c r="C14" s="63" t="s">
        <v>58</v>
      </c>
      <c r="D14" s="129">
        <v>0</v>
      </c>
      <c r="E14" s="129">
        <f>$E$16</f>
        <v>1.3866126594896284E-2</v>
      </c>
      <c r="F14" s="129">
        <f>IF(F11="",IF(AND(F11="",E11&lt;&gt;""),F16+E14+SUMIF($E11:E11,"&lt;&gt;0",#REF!),F16+E14),(((F16)*(F13-E9))/(F9-E9))+E14+SUMIF($E11:E11,"&lt;&gt;0",#REF!))</f>
        <v>2.6545849330178589E-2</v>
      </c>
      <c r="G14" s="129">
        <f>IF(G11="",IF(AND(G11="",F11&lt;&gt;""),G16+F14+SUMIF($E11:F11,"&lt;&gt;0",#REF!),G16+F14),(((G16)*(G13-F9))/(G9-F9))+F14+SUMIF($E11:F11,"&lt;&gt;0",#REF!))</f>
        <v>3.9225572065460894E-2</v>
      </c>
      <c r="H14" s="129">
        <f>IF(H11="",IF(AND(H11="",G11&lt;&gt;""),H16+G14+SUMIF($E11:G11,"&lt;&gt;0",#REF!),H16+G14),(((H16)*(H13-G9))/(H9-G9))+G14+SUMIF($E11:G11,"&lt;&gt;0",#REF!))</f>
        <v>4.8346083221901273E-2</v>
      </c>
      <c r="I14" s="129">
        <f>IF(I11="",IF(AND(I11="",H11&lt;&gt;""),I16+H14+SUMIF($E11:H11,"&lt;&gt;0",#REF!),I16+H14),(((I16)*(I13-H9))/(I9-H9))+H14+SUMIF($E11:H11,"&lt;&gt;0",#REF!))</f>
        <v>5.7466594378341659E-2</v>
      </c>
      <c r="J14" s="129">
        <f>IF(J11="",IF(AND(J11="",I11&lt;&gt;""),J16+I14+SUMIF($E11:I11,"&lt;&gt;0",#REF!),J16+I14),(((J16)*(J13-I9))/(J9-I9))+I14+SUMIF($E11:I11,"&lt;&gt;0",#REF!))</f>
        <v>9.441781126894408E-2</v>
      </c>
      <c r="K14" s="129">
        <f>IF(K11="",IF(AND(K11="",J11&lt;&gt;""),K16+J14+SUMIF($E11:J11,"&lt;&gt;0",#REF!),K16+J14),(((K16)*(K13-J9))/(K9-J9))+J14+SUMIF($E11:J11,"&lt;&gt;0",#REF!))</f>
        <v>0.31380115597403369</v>
      </c>
      <c r="L14" s="129">
        <f>IF(L11="",IF(AND(L11="",K11&lt;&gt;""),L16+K14+SUMIF($E11:K11,"&lt;&gt;0",#REF!),L16+K14),(((L16)*(L13-K9))/(L9-K9))+K14+SUMIF($E11:K11,"&lt;&gt;0",#REF!))</f>
        <v>0.53318450067912326</v>
      </c>
      <c r="M14" s="129">
        <f>IF(M11="",IF(AND(M11="",L11&lt;&gt;""),M16+L14+SUMIF($E11:L11,"&lt;&gt;0",#REF!),M16+L14),(((M16)*(M13-L9))/(M9-L9))+L14+SUMIF($E11:L11,"&lt;&gt;0",#REF!))</f>
        <v>0.5956581815913099</v>
      </c>
      <c r="N14" s="129">
        <f>IF(N11="",IF(AND(N11="",M11&lt;&gt;""),N16+M14+SUMIF($E11:M11,"&lt;&gt;0",#REF!),N16+M14),(((N16)*(N13-M9))/(N9-M9))+M14+SUMIF($E11:M11,"&lt;&gt;0",#REF!))</f>
        <v>0.61050762257719748</v>
      </c>
      <c r="O14" s="129">
        <f>IF(O11="",IF(AND(O11="",N11&lt;&gt;""),O16+N14+SUMIF($E11:N11,"&lt;&gt;0",#REF!),O16+N14),(((O16)*(O13-N9))/(O9-N9))+N14+SUMIF($E11:N11,"&lt;&gt;0",#REF!))</f>
        <v>0.63836721140316066</v>
      </c>
      <c r="P14" s="129">
        <f>IF(P11="",IF(AND(P11="",O11&lt;&gt;""),P16+O14+SUMIF($E11:O11,"&lt;&gt;0",#REF!),P16+O14),(((P16)*(P13-O9))/(P9-O9))+O14+SUMIF($E11:O11,"&lt;&gt;0",#REF!))</f>
        <v>0.66968653959592472</v>
      </c>
      <c r="Q14" s="129">
        <f>IF(Q11="",IF(AND(Q11="",P11&lt;&gt;""),Q16+P14+SUMIF($E11:P11,"&lt;&gt;0",#REF!),Q16+P14),(((Q16)*(Q13-P9))/(Q9-P9))+P14+SUMIF($E11:P11,"&lt;&gt;0",#REF!))</f>
        <v>0.70439744911568192</v>
      </c>
      <c r="R14" s="129">
        <f>IF(R11="",IF(AND(R11="",Q11&lt;&gt;""),R16+Q14+SUMIF($E11:Q11,"&lt;&gt;0",#REF!),R16+Q14),(((R16)*(R13-Q9))/(R9-Q9))+Q14+SUMIF($E11:Q11,"&lt;&gt;0",#REF!))</f>
        <v>0.74039999466571149</v>
      </c>
      <c r="S14" s="129">
        <f>IF(S11="",IF(AND(S11="",R11&lt;&gt;""),S16+R14+SUMIF($E11:R11,"&lt;&gt;0",#REF!),S16+R14),(((S16)*(S13-R9))/(S9-R9))+R14+SUMIF($E11:R11,"&lt;&gt;0",#REF!))</f>
        <v>0.76339239237566547</v>
      </c>
      <c r="T14" s="129">
        <f>IF(T11="",IF(AND(T11="",S11&lt;&gt;""),T16+S14+SUMIF($E11:S11,"&lt;&gt;0",#REF!),T16+S14),(((T16)*(T13-S9))/(T9-S9))+S14+SUMIF($E11:S11,"&lt;&gt;0",#REF!))</f>
        <v>0.78421668674909084</v>
      </c>
      <c r="U14" s="21"/>
    </row>
    <row r="15" spans="2:21" ht="20.100000000000001" customHeight="1">
      <c r="B15" s="144"/>
      <c r="C15" s="64" t="s">
        <v>59</v>
      </c>
      <c r="D15" s="129">
        <v>0</v>
      </c>
      <c r="E15" s="129">
        <f t="shared" ref="E15:N15" si="1">IF(E12&lt;&gt;"",E12+D15,D15)</f>
        <v>0</v>
      </c>
      <c r="F15" s="129">
        <f t="shared" si="1"/>
        <v>0</v>
      </c>
      <c r="G15" s="129">
        <f t="shared" si="1"/>
        <v>0</v>
      </c>
      <c r="H15" s="129">
        <f t="shared" si="1"/>
        <v>0</v>
      </c>
      <c r="I15" s="129">
        <f t="shared" si="1"/>
        <v>0</v>
      </c>
      <c r="J15" s="129">
        <f t="shared" si="1"/>
        <v>0</v>
      </c>
      <c r="K15" s="129">
        <f t="shared" si="1"/>
        <v>0</v>
      </c>
      <c r="L15" s="129">
        <f t="shared" si="1"/>
        <v>0</v>
      </c>
      <c r="M15" s="129">
        <f t="shared" si="1"/>
        <v>0</v>
      </c>
      <c r="N15" s="129">
        <f t="shared" si="1"/>
        <v>0</v>
      </c>
      <c r="O15" s="129">
        <f>IF(O12&lt;&gt;"",O12+N15,N15)</f>
        <v>0</v>
      </c>
      <c r="P15" s="129">
        <f>IF(P12&lt;&gt;"",P12+O15,O15)</f>
        <v>0</v>
      </c>
      <c r="Q15" s="129">
        <f>IF(Q12&lt;&gt;"",Q12+P15,P15)</f>
        <v>0</v>
      </c>
      <c r="R15" s="129">
        <f>IF(R12&lt;&gt;"",R12+Q15,Q15)</f>
        <v>0</v>
      </c>
      <c r="S15" s="129">
        <f>IF(S12&lt;&gt;"",S12+R15,R15)</f>
        <v>0</v>
      </c>
      <c r="T15" s="129">
        <f>IF(T12&lt;&gt;"",T12+N15,N15)</f>
        <v>0</v>
      </c>
      <c r="U15" s="16"/>
    </row>
    <row r="16" spans="2:21" ht="20.100000000000001" customHeight="1">
      <c r="B16" s="144"/>
      <c r="C16" s="62" t="s">
        <v>60</v>
      </c>
      <c r="D16" s="129">
        <v>0</v>
      </c>
      <c r="E16" s="129">
        <f t="shared" ref="E16:T16" si="2">SUMIF(E19:E51,"&gt;1",E19:E51)/$D53</f>
        <v>1.3866126594896284E-2</v>
      </c>
      <c r="F16" s="129">
        <f t="shared" si="2"/>
        <v>1.2679722735282306E-2</v>
      </c>
      <c r="G16" s="129">
        <f t="shared" si="2"/>
        <v>1.2679722735282306E-2</v>
      </c>
      <c r="H16" s="129">
        <f t="shared" si="2"/>
        <v>9.1205111564403828E-3</v>
      </c>
      <c r="I16" s="129">
        <f t="shared" si="2"/>
        <v>9.1205111564403828E-3</v>
      </c>
      <c r="J16" s="129">
        <f t="shared" si="2"/>
        <v>3.6951216890602427E-2</v>
      </c>
      <c r="K16" s="129">
        <f t="shared" si="2"/>
        <v>0.21938334470508961</v>
      </c>
      <c r="L16" s="129">
        <f t="shared" si="2"/>
        <v>0.21938334470508961</v>
      </c>
      <c r="M16" s="129">
        <f t="shared" si="2"/>
        <v>6.2473680912186684E-2</v>
      </c>
      <c r="N16" s="129">
        <f t="shared" si="2"/>
        <v>1.4849440985887551E-2</v>
      </c>
      <c r="O16" s="129">
        <f t="shared" si="2"/>
        <v>2.7859588825963167E-2</v>
      </c>
      <c r="P16" s="129">
        <f t="shared" si="2"/>
        <v>3.1319328192764027E-2</v>
      </c>
      <c r="Q16" s="129">
        <f t="shared" si="2"/>
        <v>3.4710909519757242E-2</v>
      </c>
      <c r="R16" s="129">
        <f t="shared" si="2"/>
        <v>3.6002545550029567E-2</v>
      </c>
      <c r="S16" s="129">
        <f t="shared" si="2"/>
        <v>2.2992397709953948E-2</v>
      </c>
      <c r="T16" s="129">
        <f t="shared" si="2"/>
        <v>2.0824294373425409E-2</v>
      </c>
      <c r="U16" s="16"/>
    </row>
    <row r="17" spans="1:260" ht="15.75">
      <c r="B17" s="144"/>
      <c r="C17" s="70" t="s">
        <v>61</v>
      </c>
      <c r="D17" s="130">
        <v>0</v>
      </c>
      <c r="E17" s="130" t="str">
        <f t="shared" ref="E17:T17" si="3">IF(E11&lt;&gt;0,E14-E15,"")</f>
        <v/>
      </c>
      <c r="F17" s="130" t="str">
        <f t="shared" si="3"/>
        <v/>
      </c>
      <c r="G17" s="130" t="str">
        <f t="shared" si="3"/>
        <v/>
      </c>
      <c r="H17" s="130" t="str">
        <f t="shared" si="3"/>
        <v/>
      </c>
      <c r="I17" s="130" t="str">
        <f t="shared" si="3"/>
        <v/>
      </c>
      <c r="J17" s="130" t="str">
        <f t="shared" si="3"/>
        <v/>
      </c>
      <c r="K17" s="130" t="str">
        <f t="shared" si="3"/>
        <v/>
      </c>
      <c r="L17" s="130" t="str">
        <f t="shared" si="3"/>
        <v/>
      </c>
      <c r="M17" s="130" t="str">
        <f t="shared" si="3"/>
        <v/>
      </c>
      <c r="N17" s="130" t="str">
        <f t="shared" si="3"/>
        <v/>
      </c>
      <c r="O17" s="130"/>
      <c r="P17" s="130"/>
      <c r="Q17" s="130"/>
      <c r="R17" s="130"/>
      <c r="S17" s="130"/>
      <c r="T17" s="130" t="str">
        <f t="shared" si="3"/>
        <v/>
      </c>
      <c r="U17" s="15"/>
    </row>
    <row r="18" spans="1:260" ht="15.75">
      <c r="B18" s="72" t="s">
        <v>62</v>
      </c>
      <c r="C18" s="73" t="s">
        <v>63</v>
      </c>
      <c r="D18" s="131" t="s">
        <v>64</v>
      </c>
      <c r="E18" s="74" t="s">
        <v>65</v>
      </c>
      <c r="F18" s="74" t="s">
        <v>66</v>
      </c>
      <c r="G18" s="74" t="s">
        <v>67</v>
      </c>
      <c r="H18" s="74" t="s">
        <v>68</v>
      </c>
      <c r="I18" s="74" t="s">
        <v>69</v>
      </c>
      <c r="J18" s="74" t="s">
        <v>70</v>
      </c>
      <c r="K18" s="74" t="s">
        <v>71</v>
      </c>
      <c r="L18" s="74" t="s">
        <v>72</v>
      </c>
      <c r="M18" s="74" t="s">
        <v>73</v>
      </c>
      <c r="N18" s="74" t="s">
        <v>74</v>
      </c>
      <c r="O18" s="74" t="s">
        <v>75</v>
      </c>
      <c r="P18" s="74" t="s">
        <v>76</v>
      </c>
      <c r="Q18" s="74" t="s">
        <v>77</v>
      </c>
      <c r="R18" s="74" t="s">
        <v>78</v>
      </c>
      <c r="S18" s="74" t="s">
        <v>79</v>
      </c>
      <c r="T18" s="74" t="s">
        <v>80</v>
      </c>
      <c r="U18" s="74" t="s">
        <v>81</v>
      </c>
    </row>
    <row r="19" spans="1:260" ht="15.75">
      <c r="B19" s="71" t="s">
        <v>82</v>
      </c>
      <c r="C19" s="142" t="str">
        <f>ORÇAMENTO!$C$10</f>
        <v xml:space="preserve">ADMINISTRAÇÃO DA OBRA </v>
      </c>
      <c r="D19" s="132">
        <f>ORÇAMENTO!$H$10</f>
        <v>118696.14659</v>
      </c>
      <c r="E19" s="68">
        <f t="shared" ref="E19:T19" si="4">IF(E20&lt;&gt;"",$D19*E20,0)</f>
        <v>5934.8073295000004</v>
      </c>
      <c r="F19" s="24">
        <f t="shared" si="4"/>
        <v>5934.8073295000004</v>
      </c>
      <c r="G19" s="24">
        <f t="shared" si="4"/>
        <v>5934.8073295000004</v>
      </c>
      <c r="H19" s="24">
        <f t="shared" si="4"/>
        <v>5934.8073295000004</v>
      </c>
      <c r="I19" s="24">
        <f t="shared" si="4"/>
        <v>5934.8073295000004</v>
      </c>
      <c r="J19" s="24">
        <f t="shared" si="4"/>
        <v>5934.8073295000004</v>
      </c>
      <c r="K19" s="24">
        <f t="shared" si="4"/>
        <v>5934.8073295000004</v>
      </c>
      <c r="L19" s="24">
        <f t="shared" si="4"/>
        <v>5934.8073295000004</v>
      </c>
      <c r="M19" s="24">
        <f t="shared" si="4"/>
        <v>5934.8073295000004</v>
      </c>
      <c r="N19" s="24">
        <f t="shared" si="4"/>
        <v>5934.8073295000004</v>
      </c>
      <c r="O19" s="24">
        <f t="shared" si="4"/>
        <v>5934.8073295000004</v>
      </c>
      <c r="P19" s="24">
        <f t="shared" si="4"/>
        <v>5934.8073295000004</v>
      </c>
      <c r="Q19" s="24">
        <f t="shared" si="4"/>
        <v>11869.614659000001</v>
      </c>
      <c r="R19" s="24">
        <f t="shared" si="4"/>
        <v>11869.614659000001</v>
      </c>
      <c r="S19" s="24">
        <f t="shared" si="4"/>
        <v>11869.614659000001</v>
      </c>
      <c r="T19" s="24">
        <f t="shared" si="4"/>
        <v>11869.614659000001</v>
      </c>
      <c r="U19" s="22"/>
    </row>
    <row r="20" spans="1:260" ht="15.75">
      <c r="B20" s="67"/>
      <c r="C20" s="142"/>
      <c r="D20" s="146"/>
      <c r="E20" s="25">
        <v>0.05</v>
      </c>
      <c r="F20" s="25">
        <v>0.05</v>
      </c>
      <c r="G20" s="25">
        <v>0.05</v>
      </c>
      <c r="H20" s="25">
        <v>0.05</v>
      </c>
      <c r="I20" s="25">
        <v>0.05</v>
      </c>
      <c r="J20" s="25">
        <v>0.05</v>
      </c>
      <c r="K20" s="25">
        <v>0.05</v>
      </c>
      <c r="L20" s="25">
        <v>0.05</v>
      </c>
      <c r="M20" s="25">
        <v>0.05</v>
      </c>
      <c r="N20" s="25">
        <v>0.05</v>
      </c>
      <c r="O20" s="25">
        <v>0.05</v>
      </c>
      <c r="P20" s="25">
        <v>0.05</v>
      </c>
      <c r="Q20" s="25">
        <v>0.1</v>
      </c>
      <c r="R20" s="25">
        <v>0.1</v>
      </c>
      <c r="S20" s="25">
        <v>0.1</v>
      </c>
      <c r="T20" s="25">
        <v>0.1</v>
      </c>
      <c r="U20" s="23">
        <f>SUM(E20:T20)</f>
        <v>0.99999999999999989</v>
      </c>
      <c r="V20" s="10"/>
      <c r="W20" s="11"/>
      <c r="X20" s="11"/>
      <c r="Y20" s="11"/>
      <c r="Z20" s="11"/>
      <c r="AA20" s="10"/>
      <c r="AB20" s="11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</row>
    <row r="21" spans="1:260" s="9" customFormat="1" ht="15.75">
      <c r="B21" s="67" t="s">
        <v>83</v>
      </c>
      <c r="C21" s="142" t="str">
        <f>ORÇAMENTO!$C$25</f>
        <v>SERVIÇOS PRELIMINARES E ALUGUEL DE EQUIPAMENTOS</v>
      </c>
      <c r="D21" s="131">
        <f>ORÇAMENTO!$H$25</f>
        <v>5564.64</v>
      </c>
      <c r="E21" s="69">
        <f t="shared" ref="E21:T21" si="5">IF(E22&lt;&gt;"",$D21*E22,0)</f>
        <v>2225.8560000000002</v>
      </c>
      <c r="F21" s="26">
        <f t="shared" si="5"/>
        <v>1669.3920000000001</v>
      </c>
      <c r="G21" s="26">
        <f t="shared" si="5"/>
        <v>1669.3920000000001</v>
      </c>
      <c r="H21" s="26">
        <f t="shared" si="5"/>
        <v>0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26">
        <f t="shared" si="5"/>
        <v>0</v>
      </c>
      <c r="M21" s="26">
        <f t="shared" si="5"/>
        <v>0</v>
      </c>
      <c r="N21" s="26">
        <f t="shared" si="5"/>
        <v>0</v>
      </c>
      <c r="O21" s="26"/>
      <c r="P21" s="26"/>
      <c r="Q21" s="26"/>
      <c r="R21" s="26"/>
      <c r="S21" s="26"/>
      <c r="T21" s="26">
        <f t="shared" si="5"/>
        <v>0</v>
      </c>
      <c r="U21" s="23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</row>
    <row r="22" spans="1:260" ht="15.75">
      <c r="B22" s="67"/>
      <c r="C22" s="142"/>
      <c r="D22" s="146"/>
      <c r="E22" s="25">
        <v>0.4</v>
      </c>
      <c r="F22" s="25">
        <v>0.3</v>
      </c>
      <c r="G22" s="25">
        <v>0.3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3">
        <f>SUM(E22:T22)</f>
        <v>1</v>
      </c>
      <c r="V22" s="10"/>
      <c r="W22" s="11"/>
      <c r="X22" s="11"/>
      <c r="Y22" s="11"/>
      <c r="Z22" s="11"/>
      <c r="AA22" s="10"/>
      <c r="AB22" s="11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</row>
    <row r="23" spans="1:260" s="9" customFormat="1" ht="15.75">
      <c r="B23" s="67" t="s">
        <v>84</v>
      </c>
      <c r="C23" s="142" t="str">
        <f>ORÇAMENTO!$C$31</f>
        <v>REMOÇÕES</v>
      </c>
      <c r="D23" s="131">
        <f>ORÇAMENTO!$H$31</f>
        <v>2472.48</v>
      </c>
      <c r="E23" s="69">
        <f t="shared" ref="E23:T23" si="6">IF(E24&lt;&gt;"",$D23*E24,0)</f>
        <v>988.99200000000008</v>
      </c>
      <c r="F23" s="26">
        <f t="shared" si="6"/>
        <v>741.74400000000003</v>
      </c>
      <c r="G23" s="26">
        <f t="shared" si="6"/>
        <v>741.74400000000003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0</v>
      </c>
      <c r="M23" s="26">
        <f t="shared" si="6"/>
        <v>0</v>
      </c>
      <c r="N23" s="26">
        <f t="shared" si="6"/>
        <v>0</v>
      </c>
      <c r="O23" s="26"/>
      <c r="P23" s="26"/>
      <c r="Q23" s="26"/>
      <c r="R23" s="26"/>
      <c r="S23" s="26"/>
      <c r="T23" s="26">
        <f t="shared" si="6"/>
        <v>0</v>
      </c>
      <c r="U23" s="23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</row>
    <row r="24" spans="1:260" ht="15.75">
      <c r="B24" s="67"/>
      <c r="C24" s="142"/>
      <c r="D24" s="146"/>
      <c r="E24" s="25">
        <v>0.4</v>
      </c>
      <c r="F24" s="25">
        <v>0.3</v>
      </c>
      <c r="G24" s="25">
        <v>0.3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3">
        <f>SUM(E24:T24)</f>
        <v>1</v>
      </c>
      <c r="V24" s="10"/>
      <c r="W24" s="11"/>
      <c r="X24" s="11"/>
      <c r="Y24" s="11"/>
      <c r="Z24" s="11"/>
      <c r="AA24" s="10"/>
      <c r="AB24" s="11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</row>
    <row r="25" spans="1:260" s="9" customFormat="1" ht="15.75">
      <c r="B25" s="67" t="s">
        <v>85</v>
      </c>
      <c r="C25" s="142" t="e">
        <f>ORÇAMENTO!#REF!</f>
        <v>#REF!</v>
      </c>
      <c r="D25" s="133" t="e">
        <f>ORÇAMENTO!#REF!</f>
        <v>#REF!</v>
      </c>
      <c r="E25" s="69">
        <f t="shared" ref="E25:T25" si="7">IF(E26&lt;&gt;"",$D25*E26,0)</f>
        <v>0</v>
      </c>
      <c r="F25" s="26">
        <f t="shared" si="7"/>
        <v>0</v>
      </c>
      <c r="G25" s="26" t="e">
        <f t="shared" si="7"/>
        <v>#REF!</v>
      </c>
      <c r="H25" s="26" t="e">
        <f t="shared" si="7"/>
        <v>#REF!</v>
      </c>
      <c r="I25" s="26" t="e">
        <f t="shared" si="7"/>
        <v>#REF!</v>
      </c>
      <c r="J25" s="26" t="e">
        <f t="shared" si="7"/>
        <v>#REF!</v>
      </c>
      <c r="K25" s="26"/>
      <c r="L25" s="26">
        <f t="shared" si="7"/>
        <v>0</v>
      </c>
      <c r="M25" s="26">
        <f t="shared" si="7"/>
        <v>0</v>
      </c>
      <c r="N25" s="26">
        <f t="shared" si="7"/>
        <v>0</v>
      </c>
      <c r="O25" s="26"/>
      <c r="P25" s="26"/>
      <c r="Q25" s="26"/>
      <c r="R25" s="26"/>
      <c r="S25" s="26"/>
      <c r="T25" s="26">
        <f t="shared" si="7"/>
        <v>0</v>
      </c>
      <c r="U25" s="23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</row>
    <row r="26" spans="1:260" ht="15.75">
      <c r="B26" s="67"/>
      <c r="C26" s="142"/>
      <c r="D26" s="147"/>
      <c r="E26" s="25"/>
      <c r="F26" s="25"/>
      <c r="G26" s="25">
        <v>0.25</v>
      </c>
      <c r="H26" s="25">
        <v>0.25</v>
      </c>
      <c r="I26" s="25">
        <v>0.25</v>
      </c>
      <c r="J26" s="25">
        <v>0.25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3">
        <f>SUM(E26:T26)</f>
        <v>1</v>
      </c>
      <c r="V26" s="10"/>
      <c r="W26" s="11"/>
      <c r="X26" s="11"/>
      <c r="Y26" s="11"/>
      <c r="Z26" s="11"/>
      <c r="AA26" s="10"/>
      <c r="AB26" s="11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</row>
    <row r="27" spans="1:260" s="9" customFormat="1" ht="15.75">
      <c r="B27" s="67" t="s">
        <v>86</v>
      </c>
      <c r="C27" s="142" t="e">
        <f>ORÇAMENTO!#REF!</f>
        <v>#REF!</v>
      </c>
      <c r="D27" s="131" t="e">
        <f>ORÇAMENTO!#REF!</f>
        <v>#REF!</v>
      </c>
      <c r="E27" s="69">
        <f t="shared" ref="E27:N27" si="8">IF(E28&lt;&gt;"",$D27*E28,0)</f>
        <v>0</v>
      </c>
      <c r="F27" s="26">
        <f t="shared" si="8"/>
        <v>0</v>
      </c>
      <c r="G27" s="26">
        <f t="shared" si="8"/>
        <v>0</v>
      </c>
      <c r="H27" s="26" t="e">
        <f t="shared" si="8"/>
        <v>#REF!</v>
      </c>
      <c r="I27" s="26" t="e">
        <f t="shared" si="8"/>
        <v>#REF!</v>
      </c>
      <c r="J27" s="26" t="e">
        <f t="shared" si="8"/>
        <v>#REF!</v>
      </c>
      <c r="K27" s="26">
        <f t="shared" si="8"/>
        <v>0</v>
      </c>
      <c r="L27" s="26">
        <f t="shared" si="8"/>
        <v>0</v>
      </c>
      <c r="M27" s="26">
        <f t="shared" si="8"/>
        <v>0</v>
      </c>
      <c r="N27" s="26">
        <f t="shared" si="8"/>
        <v>0</v>
      </c>
      <c r="O27" s="26"/>
      <c r="P27" s="26"/>
      <c r="Q27" s="26"/>
      <c r="R27" s="26"/>
      <c r="S27" s="26"/>
      <c r="T27" s="26">
        <f>IF(T28&lt;&gt;"",$D27*T28,0)</f>
        <v>0</v>
      </c>
      <c r="U27" s="23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</row>
    <row r="28" spans="1:260" ht="15.75">
      <c r="A28" s="145"/>
      <c r="B28" s="67"/>
      <c r="C28" s="142"/>
      <c r="D28" s="146"/>
      <c r="E28" s="25"/>
      <c r="F28" s="25"/>
      <c r="G28" s="25"/>
      <c r="H28" s="25">
        <v>0.25</v>
      </c>
      <c r="I28" s="25">
        <v>0.25</v>
      </c>
      <c r="J28" s="25">
        <v>0.5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3">
        <f>SUM(E28:T28)</f>
        <v>1</v>
      </c>
      <c r="V28" s="10"/>
      <c r="W28" s="11"/>
      <c r="X28" s="11"/>
      <c r="Y28" s="11"/>
      <c r="Z28" s="11"/>
      <c r="AA28" s="10"/>
      <c r="AB28" s="11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</row>
    <row r="29" spans="1:260" s="9" customFormat="1" ht="15.75">
      <c r="B29" s="67" t="s">
        <v>87</v>
      </c>
      <c r="C29" s="142" t="str">
        <f>ORÇAMENTO!$C$111</f>
        <v>ESQUADRIAS DE VIDRO TEMPERADO</v>
      </c>
      <c r="D29" s="131">
        <f>ORÇAMENTO!$H$111</f>
        <v>67044.206000000006</v>
      </c>
      <c r="E29" s="69">
        <f>IF(E30&lt;&gt;"",$D29*E30,0)</f>
        <v>0</v>
      </c>
      <c r="F29" s="26">
        <f>IF(F30&lt;&gt;"",$D29*F30,0)</f>
        <v>0</v>
      </c>
      <c r="G29" s="26">
        <f>IF(G30&lt;&gt;"",$D29*G30,0)</f>
        <v>0</v>
      </c>
      <c r="H29" s="26"/>
      <c r="I29" s="26"/>
      <c r="J29" s="26">
        <f>IF(J30&lt;&gt;"",$D29*J30,0)</f>
        <v>10056.6309</v>
      </c>
      <c r="K29" s="26">
        <f>IF(K30&lt;&gt;"",$D29*K30,0)</f>
        <v>16761.051500000001</v>
      </c>
      <c r="L29" s="26">
        <f>IF(L30&lt;&gt;"",$D29*L30,0)</f>
        <v>16761.051500000001</v>
      </c>
      <c r="M29" s="26">
        <f>IF(M30&lt;&gt;"",$D29*M30,0)</f>
        <v>23465.472099999999</v>
      </c>
      <c r="N29" s="26"/>
      <c r="O29" s="26"/>
      <c r="P29" s="26"/>
      <c r="Q29" s="26"/>
      <c r="R29" s="26"/>
      <c r="S29" s="26"/>
      <c r="T29" s="26"/>
      <c r="U29" s="23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</row>
    <row r="30" spans="1:260" ht="15.75">
      <c r="B30" s="67"/>
      <c r="C30" s="142"/>
      <c r="D30" s="146"/>
      <c r="E30" s="25"/>
      <c r="F30" s="25"/>
      <c r="G30" s="25"/>
      <c r="H30" s="25"/>
      <c r="I30" s="25"/>
      <c r="J30" s="25">
        <v>0.15</v>
      </c>
      <c r="K30" s="25">
        <v>0.25</v>
      </c>
      <c r="L30" s="25">
        <v>0.25</v>
      </c>
      <c r="M30" s="25">
        <v>0.35</v>
      </c>
      <c r="N30" s="25"/>
      <c r="O30" s="25"/>
      <c r="P30" s="25"/>
      <c r="Q30" s="25"/>
      <c r="R30" s="25"/>
      <c r="S30" s="25"/>
      <c r="T30" s="25"/>
      <c r="U30" s="23">
        <f>SUM(E30:T30)</f>
        <v>1</v>
      </c>
      <c r="V30" s="10"/>
      <c r="W30" s="11"/>
      <c r="X30" s="11"/>
      <c r="Y30" s="11"/>
      <c r="Z30" s="11"/>
      <c r="AA30" s="10"/>
      <c r="AB30" s="11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</row>
    <row r="31" spans="1:260" ht="15.75">
      <c r="B31" s="67"/>
      <c r="C31" s="142"/>
      <c r="D31" s="146"/>
      <c r="E31" s="25"/>
      <c r="F31" s="25"/>
      <c r="G31" s="25"/>
      <c r="H31" s="25"/>
      <c r="I31" s="25">
        <v>0.25</v>
      </c>
      <c r="J31" s="25">
        <v>0.25</v>
      </c>
      <c r="K31" s="25">
        <v>0.25</v>
      </c>
      <c r="L31" s="25">
        <v>0.25</v>
      </c>
      <c r="M31" s="25"/>
      <c r="N31" s="25"/>
      <c r="O31" s="25"/>
      <c r="P31" s="25"/>
      <c r="Q31" s="25"/>
      <c r="R31" s="25"/>
      <c r="S31" s="25"/>
      <c r="T31" s="25"/>
      <c r="U31" s="23">
        <f>SUM(E31:T31)</f>
        <v>1</v>
      </c>
      <c r="V31" s="10"/>
      <c r="W31" s="11"/>
      <c r="X31" s="11"/>
      <c r="Y31" s="11"/>
      <c r="Z31" s="11"/>
      <c r="AA31" s="10"/>
      <c r="AB31" s="11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</row>
    <row r="32" spans="1:260" s="9" customFormat="1" ht="15.75">
      <c r="B32" s="67" t="s">
        <v>88</v>
      </c>
      <c r="C32" s="142" t="str">
        <f>ORÇAMENTO!$C$92</f>
        <v>SISTEMA PARCIAL 20 EVAPORADORAS VRF E 01 CONDENSADORA VRF  - PREVISÃO EXPANSÃO FUTURA P/ 30 EVAPORADORAS</v>
      </c>
      <c r="D32" s="131">
        <f>ORÇAMENTO!$H$92</f>
        <v>233763.13</v>
      </c>
      <c r="E32" s="69">
        <f t="shared" ref="E32:G38" si="9">IF(E33&lt;&gt;"",$D32*E33,0)</f>
        <v>0</v>
      </c>
      <c r="F32" s="26">
        <f t="shared" si="9"/>
        <v>0</v>
      </c>
      <c r="G32" s="26">
        <f t="shared" si="9"/>
        <v>0</v>
      </c>
      <c r="H32" s="26"/>
      <c r="I32" s="26"/>
      <c r="J32" s="26"/>
      <c r="K32" s="26">
        <f>IF(K33&lt;&gt;"",$D32*K33,0)</f>
        <v>116881.565</v>
      </c>
      <c r="L32" s="26">
        <f>IF(L33&lt;&gt;"",$D32*L33,0)</f>
        <v>116881.565</v>
      </c>
      <c r="M32" s="26"/>
      <c r="N32" s="26"/>
      <c r="O32" s="26"/>
      <c r="P32" s="26"/>
      <c r="Q32" s="26"/>
      <c r="R32" s="26"/>
      <c r="S32" s="26"/>
      <c r="T32" s="26"/>
      <c r="U32" s="23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</row>
    <row r="33" spans="2:260" s="9" customFormat="1" ht="15.75">
      <c r="B33" s="67"/>
      <c r="C33" s="142"/>
      <c r="D33" s="146"/>
      <c r="E33" s="25"/>
      <c r="F33" s="25"/>
      <c r="G33" s="25"/>
      <c r="H33" s="25"/>
      <c r="I33" s="25"/>
      <c r="J33" s="25"/>
      <c r="K33" s="25">
        <v>0.5</v>
      </c>
      <c r="L33" s="25">
        <v>0.5</v>
      </c>
      <c r="M33" s="25"/>
      <c r="N33" s="25"/>
      <c r="O33" s="25"/>
      <c r="P33" s="25"/>
      <c r="Q33" s="25"/>
      <c r="R33" s="25"/>
      <c r="S33" s="25"/>
      <c r="T33" s="25"/>
      <c r="U33" s="23">
        <f>SUM(E33:T33)</f>
        <v>1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</row>
    <row r="34" spans="2:260" s="9" customFormat="1" ht="15.75">
      <c r="B34" s="67" t="s">
        <v>89</v>
      </c>
      <c r="C34" s="142" t="e">
        <f>ORÇAMENTO!#REF!</f>
        <v>#REF!</v>
      </c>
      <c r="D34" s="131" t="e">
        <f>ORÇAMENTO!#REF!</f>
        <v>#REF!</v>
      </c>
      <c r="E34" s="69">
        <f t="shared" si="9"/>
        <v>0</v>
      </c>
      <c r="F34" s="26">
        <f t="shared" si="9"/>
        <v>0</v>
      </c>
      <c r="G34" s="26">
        <f t="shared" si="9"/>
        <v>0</v>
      </c>
      <c r="H34" s="26"/>
      <c r="I34" s="26"/>
      <c r="J34" s="26"/>
      <c r="K34" s="26"/>
      <c r="L34" s="26" t="e">
        <f>IF(L35&lt;&gt;"",$D34*L35,0)</f>
        <v>#REF!</v>
      </c>
      <c r="M34" s="26" t="e">
        <f>IF(M35&lt;&gt;"",$D34*M35,0)</f>
        <v>#REF!</v>
      </c>
      <c r="N34" s="26" t="e">
        <f>IF(N35&lt;&gt;"",$D34*N35,0)</f>
        <v>#REF!</v>
      </c>
      <c r="O34" s="26" t="e">
        <f>IF(O35&lt;&gt;"",$D34*O35,0)</f>
        <v>#REF!</v>
      </c>
      <c r="P34" s="26"/>
      <c r="Q34" s="26"/>
      <c r="R34" s="26"/>
      <c r="S34" s="26"/>
      <c r="T34" s="26"/>
      <c r="U34" s="23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</row>
    <row r="35" spans="2:260" s="9" customFormat="1" ht="15.75">
      <c r="B35" s="67"/>
      <c r="C35" s="142"/>
      <c r="D35" s="146"/>
      <c r="E35" s="25"/>
      <c r="F35" s="25"/>
      <c r="G35" s="25"/>
      <c r="H35" s="25"/>
      <c r="I35" s="25"/>
      <c r="J35" s="25"/>
      <c r="K35" s="25"/>
      <c r="L35" s="25">
        <v>0.25</v>
      </c>
      <c r="M35" s="25">
        <v>0.25</v>
      </c>
      <c r="N35" s="25">
        <v>0.25</v>
      </c>
      <c r="O35" s="25">
        <v>0.25</v>
      </c>
      <c r="P35" s="25"/>
      <c r="Q35" s="25"/>
      <c r="R35" s="25"/>
      <c r="S35" s="25"/>
      <c r="T35" s="25"/>
      <c r="U35" s="23">
        <f>SUM(E35:T35)</f>
        <v>1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</row>
    <row r="36" spans="2:260" ht="15.75">
      <c r="B36" s="67" t="s">
        <v>90</v>
      </c>
      <c r="C36" s="142" t="str">
        <f>ORÇAMENTO!$C$123</f>
        <v>REPOSIÇÃO PONTUAL DE CARPETE, REPINTURA E REPAROS EM FORROS E  PASSAGENS EM PAREDES</v>
      </c>
      <c r="D36" s="131">
        <f>ORÇAMENTO!$H$123</f>
        <v>11010</v>
      </c>
      <c r="E36" s="69">
        <f t="shared" si="9"/>
        <v>0</v>
      </c>
      <c r="F36" s="26">
        <f t="shared" si="9"/>
        <v>0</v>
      </c>
      <c r="G36" s="26">
        <f t="shared" si="9"/>
        <v>0</v>
      </c>
      <c r="H36" s="26"/>
      <c r="I36" s="26"/>
      <c r="J36" s="26"/>
      <c r="K36" s="26"/>
      <c r="L36" s="26"/>
      <c r="M36" s="26">
        <f>IF(M37&lt;&gt;"",$D36*M37,0)</f>
        <v>2752.5</v>
      </c>
      <c r="N36" s="26">
        <f>IF(N37&lt;&gt;"",$D36*N37,0)</f>
        <v>2752.5</v>
      </c>
      <c r="O36" s="26">
        <f>IF(O37&lt;&gt;"",$D36*O37,0)</f>
        <v>2752.5</v>
      </c>
      <c r="P36" s="26">
        <f>IF(P37&lt;&gt;"",$D36*P37,0)</f>
        <v>2752.5</v>
      </c>
      <c r="Q36" s="26"/>
      <c r="R36" s="26"/>
      <c r="S36" s="26"/>
      <c r="T36" s="26"/>
      <c r="U36" s="23"/>
      <c r="V36" s="10"/>
      <c r="W36" s="11"/>
      <c r="X36" s="11"/>
      <c r="Y36" s="11"/>
      <c r="Z36" s="11"/>
      <c r="AA36" s="10"/>
      <c r="AB36" s="11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</row>
    <row r="37" spans="2:260" s="9" customFormat="1" ht="15.75">
      <c r="B37" s="67"/>
      <c r="C37" s="142"/>
      <c r="D37" s="146"/>
      <c r="E37" s="25"/>
      <c r="F37" s="25"/>
      <c r="G37" s="25"/>
      <c r="H37" s="25"/>
      <c r="I37" s="25"/>
      <c r="J37" s="25"/>
      <c r="K37" s="25"/>
      <c r="L37" s="25"/>
      <c r="M37" s="25">
        <v>0.25</v>
      </c>
      <c r="N37" s="25">
        <v>0.25</v>
      </c>
      <c r="O37" s="25">
        <v>0.25</v>
      </c>
      <c r="P37" s="25">
        <v>0.25</v>
      </c>
      <c r="Q37" s="25"/>
      <c r="R37" s="25"/>
      <c r="S37" s="25"/>
      <c r="T37" s="25"/>
      <c r="U37" s="23">
        <f>SUM(E37:T37)</f>
        <v>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</row>
    <row r="38" spans="2:260" ht="15.75">
      <c r="B38" s="67" t="s">
        <v>91</v>
      </c>
      <c r="C38" s="142" t="e">
        <f>ORÇAMENTO!#REF!</f>
        <v>#REF!</v>
      </c>
      <c r="D38" s="131" t="e">
        <f>ORÇAMENTO!#REF!</f>
        <v>#REF!</v>
      </c>
      <c r="E38" s="69">
        <f t="shared" si="9"/>
        <v>0</v>
      </c>
      <c r="F38" s="26">
        <f t="shared" si="9"/>
        <v>0</v>
      </c>
      <c r="G38" s="26">
        <f t="shared" si="9"/>
        <v>0</v>
      </c>
      <c r="H38" s="26"/>
      <c r="I38" s="26"/>
      <c r="J38" s="26"/>
      <c r="K38" s="26"/>
      <c r="L38" s="26"/>
      <c r="M38" s="26"/>
      <c r="N38" s="26"/>
      <c r="O38" s="26" t="e">
        <f>IF(O39&lt;&gt;"",$D38*O39,0)</f>
        <v>#REF!</v>
      </c>
      <c r="P38" s="26" t="e">
        <f>IF(P39&lt;&gt;"",$D38*P39,0)</f>
        <v>#REF!</v>
      </c>
      <c r="Q38" s="26" t="e">
        <f>IF(Q39&lt;&gt;"",$D38*Q39,0)</f>
        <v>#REF!</v>
      </c>
      <c r="R38" s="26" t="e">
        <f>IF(R39&lt;&gt;"",$D38*R39,0)</f>
        <v>#REF!</v>
      </c>
      <c r="S38" s="26"/>
      <c r="T38" s="26"/>
      <c r="U38" s="23"/>
      <c r="V38" s="10"/>
      <c r="W38" s="11"/>
      <c r="X38" s="11"/>
      <c r="Y38" s="11"/>
      <c r="Z38" s="11"/>
      <c r="AA38" s="10"/>
      <c r="AB38" s="11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</row>
    <row r="39" spans="2:260" s="9" customFormat="1" ht="15.75">
      <c r="B39" s="67"/>
      <c r="C39" s="142"/>
      <c r="D39" s="14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>
        <v>0.25</v>
      </c>
      <c r="P39" s="25">
        <v>0.25</v>
      </c>
      <c r="Q39" s="25">
        <v>0.25</v>
      </c>
      <c r="R39" s="25">
        <v>0.25</v>
      </c>
      <c r="S39" s="25"/>
      <c r="T39" s="25"/>
      <c r="U39" s="23">
        <f>SUM(E39:T39)</f>
        <v>1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</row>
    <row r="40" spans="2:260" ht="15.75">
      <c r="B40" s="67" t="s">
        <v>92</v>
      </c>
      <c r="C40" s="142" t="str">
        <f>ORÇAMENTO!$C$125</f>
        <v>ACABAMENTOS DE PISOS</v>
      </c>
      <c r="D40" s="131">
        <f>ORÇAMENTO!$H$125</f>
        <v>35254.14</v>
      </c>
      <c r="E40" s="69">
        <f t="shared" ref="E40:G44" si="10">IF(E41&lt;&gt;"",$D40*E41,0)</f>
        <v>0</v>
      </c>
      <c r="F40" s="26">
        <f t="shared" si="10"/>
        <v>0</v>
      </c>
      <c r="G40" s="26">
        <f t="shared" si="10"/>
        <v>0</v>
      </c>
      <c r="H40" s="26"/>
      <c r="I40" s="26"/>
      <c r="J40" s="26"/>
      <c r="K40" s="26"/>
      <c r="L40" s="26"/>
      <c r="M40" s="26"/>
      <c r="N40" s="26"/>
      <c r="O40" s="26">
        <f>IF(O41&lt;&gt;"",$D40*O41,0)</f>
        <v>8813.5349999999999</v>
      </c>
      <c r="P40" s="26">
        <f>IF(P41&lt;&gt;"",$D40*P41,0)</f>
        <v>8813.5349999999999</v>
      </c>
      <c r="Q40" s="26">
        <f>IF(Q41&lt;&gt;"",$D40*Q41,0)</f>
        <v>8813.5349999999999</v>
      </c>
      <c r="R40" s="26">
        <f>IF(R41&lt;&gt;"",$D40*R41,0)</f>
        <v>8813.5349999999999</v>
      </c>
      <c r="S40" s="26"/>
      <c r="T40" s="26"/>
      <c r="U40" s="23"/>
      <c r="V40" s="10"/>
      <c r="W40" s="11"/>
      <c r="X40" s="11"/>
      <c r="Y40" s="11"/>
      <c r="Z40" s="11"/>
      <c r="AA40" s="10"/>
      <c r="AB40" s="11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</row>
    <row r="41" spans="2:260" ht="15.75">
      <c r="B41" s="67"/>
      <c r="C41" s="142"/>
      <c r="D41" s="14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>
        <v>0.25</v>
      </c>
      <c r="P41" s="25">
        <v>0.25</v>
      </c>
      <c r="Q41" s="25">
        <v>0.25</v>
      </c>
      <c r="R41" s="25">
        <v>0.25</v>
      </c>
      <c r="S41" s="25"/>
      <c r="T41" s="25"/>
      <c r="U41" s="23">
        <f>SUM(E41:T41)</f>
        <v>1</v>
      </c>
      <c r="V41" s="10"/>
      <c r="W41" s="11"/>
      <c r="X41" s="11"/>
      <c r="Y41" s="11"/>
      <c r="Z41" s="11"/>
      <c r="AA41" s="10"/>
      <c r="AB41" s="11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</row>
    <row r="42" spans="2:260" ht="15.75">
      <c r="B42" s="67" t="s">
        <v>93</v>
      </c>
      <c r="C42" s="142" t="str">
        <f>ORÇAMENTO!$C$127</f>
        <v>ACABAMENTOS LOUÇAS E METAIS SANITÁRIOS</v>
      </c>
      <c r="D42" s="131">
        <f>ORÇAMENTO!$H$127</f>
        <v>4513.92</v>
      </c>
      <c r="E42" s="69">
        <f t="shared" si="10"/>
        <v>0</v>
      </c>
      <c r="F42" s="26">
        <f t="shared" si="10"/>
        <v>0</v>
      </c>
      <c r="G42" s="26">
        <f t="shared" si="10"/>
        <v>0</v>
      </c>
      <c r="H42" s="26"/>
      <c r="I42" s="26"/>
      <c r="J42" s="26"/>
      <c r="K42" s="26"/>
      <c r="L42" s="26"/>
      <c r="M42" s="26">
        <f>IF(M43&lt;&gt;"",$D42*M43,0)</f>
        <v>1128.48</v>
      </c>
      <c r="N42" s="26">
        <f>IF(N43&lt;&gt;"",$D42*N43,0)</f>
        <v>1128.48</v>
      </c>
      <c r="O42" s="26">
        <f>IF(O43&lt;&gt;"",$D42*O43,0)</f>
        <v>1128.48</v>
      </c>
      <c r="P42" s="26">
        <f>IF(P43&lt;&gt;"",$D42*P43,0)</f>
        <v>1128.48</v>
      </c>
      <c r="Q42" s="26"/>
      <c r="R42" s="26"/>
      <c r="S42" s="26"/>
      <c r="T42" s="26"/>
      <c r="U42" s="23"/>
      <c r="V42" s="10"/>
      <c r="W42" s="11"/>
      <c r="X42" s="11"/>
      <c r="Y42" s="11"/>
      <c r="Z42" s="11"/>
      <c r="AA42" s="10"/>
      <c r="AB42" s="11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</row>
    <row r="43" spans="2:260" ht="15.75">
      <c r="B43" s="67"/>
      <c r="C43" s="142"/>
      <c r="D43" s="146"/>
      <c r="E43" s="25"/>
      <c r="F43" s="25"/>
      <c r="G43" s="25"/>
      <c r="H43" s="25"/>
      <c r="I43" s="25"/>
      <c r="J43" s="25"/>
      <c r="K43" s="25"/>
      <c r="L43" s="25"/>
      <c r="M43" s="25">
        <v>0.25</v>
      </c>
      <c r="N43" s="25">
        <v>0.25</v>
      </c>
      <c r="O43" s="25">
        <v>0.25</v>
      </c>
      <c r="P43" s="25">
        <v>0.25</v>
      </c>
      <c r="Q43" s="25"/>
      <c r="R43" s="25"/>
      <c r="S43" s="25"/>
      <c r="T43" s="25"/>
      <c r="U43" s="23">
        <f>SUM(E43:T43)</f>
        <v>1</v>
      </c>
      <c r="V43" s="10"/>
      <c r="W43" s="11"/>
      <c r="X43" s="11"/>
      <c r="Y43" s="11"/>
      <c r="Z43" s="11"/>
      <c r="AA43" s="10"/>
      <c r="AB43" s="11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</row>
    <row r="44" spans="2:260" ht="15.75">
      <c r="B44" s="67" t="s">
        <v>94</v>
      </c>
      <c r="C44" s="142" t="str">
        <f>ORÇAMENTO!$C$131</f>
        <v>ACÚSTICA AUDITÓRIO E ESTAÇÕES | BAFFLES E PAINEL COMPOSTO</v>
      </c>
      <c r="D44" s="131">
        <f>ORÇAMENTO!$H$131</f>
        <v>35187.5</v>
      </c>
      <c r="E44" s="69">
        <f t="shared" si="10"/>
        <v>0</v>
      </c>
      <c r="F44" s="26">
        <f t="shared" si="10"/>
        <v>0</v>
      </c>
      <c r="G44" s="26">
        <f t="shared" si="10"/>
        <v>0</v>
      </c>
      <c r="H44" s="26"/>
      <c r="I44" s="26"/>
      <c r="J44" s="26">
        <f>IF(J45&lt;&gt;"",$D44*J45,0)</f>
        <v>8796.875</v>
      </c>
      <c r="K44" s="26">
        <f>IF(K45&lt;&gt;"",$D44*K45,0)</f>
        <v>8796.875</v>
      </c>
      <c r="L44" s="26">
        <f>IF(L45&lt;&gt;"",$D44*L45,0)</f>
        <v>8796.875</v>
      </c>
      <c r="M44" s="26">
        <f>IF(M45&lt;&gt;"",$D44*M45,0)</f>
        <v>8796.875</v>
      </c>
      <c r="N44" s="26"/>
      <c r="O44" s="26"/>
      <c r="P44" s="26"/>
      <c r="Q44" s="26"/>
      <c r="R44" s="26"/>
      <c r="S44" s="26"/>
      <c r="T44" s="26"/>
      <c r="U44" s="23"/>
      <c r="V44" s="10"/>
      <c r="W44" s="11"/>
      <c r="X44" s="11"/>
      <c r="Y44" s="11"/>
      <c r="Z44" s="11"/>
      <c r="AA44" s="10"/>
      <c r="AB44" s="11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</row>
    <row r="45" spans="2:260" s="9" customFormat="1" ht="15.75">
      <c r="B45" s="67"/>
      <c r="C45" s="142"/>
      <c r="D45" s="146"/>
      <c r="E45" s="25"/>
      <c r="F45" s="25"/>
      <c r="G45" s="25"/>
      <c r="H45" s="25"/>
      <c r="I45" s="25"/>
      <c r="J45" s="25">
        <v>0.25</v>
      </c>
      <c r="K45" s="25">
        <v>0.25</v>
      </c>
      <c r="L45" s="25">
        <v>0.25</v>
      </c>
      <c r="M45" s="25">
        <v>0.25</v>
      </c>
      <c r="N45" s="25"/>
      <c r="O45" s="25"/>
      <c r="P45" s="25"/>
      <c r="Q45" s="25"/>
      <c r="R45" s="25"/>
      <c r="S45" s="25"/>
      <c r="T45" s="25"/>
      <c r="U45" s="23">
        <f>SUM(E45:T45)</f>
        <v>1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</row>
    <row r="46" spans="2:260" ht="17.25" customHeight="1">
      <c r="B46" s="67" t="s">
        <v>95</v>
      </c>
      <c r="C46" s="142" t="str">
        <f>ORÇAMENTO!$C$136</f>
        <v>MARCENARIA</v>
      </c>
      <c r="D46" s="131">
        <f>ORÇAMENTO!$H$136</f>
        <v>9375</v>
      </c>
      <c r="E46" s="69">
        <f>IF(E47&lt;&gt;"",$D46*E47,0)</f>
        <v>0</v>
      </c>
      <c r="F46" s="26">
        <f>IF(F47&lt;&gt;"",$D46*F47,0)</f>
        <v>0</v>
      </c>
      <c r="G46" s="26">
        <f>IF(G47&lt;&gt;"",$D46*G47,0)</f>
        <v>0</v>
      </c>
      <c r="H46" s="26"/>
      <c r="I46" s="26"/>
      <c r="J46" s="26"/>
      <c r="K46" s="26"/>
      <c r="L46" s="26"/>
      <c r="M46" s="26"/>
      <c r="N46" s="26"/>
      <c r="O46" s="26"/>
      <c r="P46" s="26">
        <f>IF(P47&lt;&gt;"",$D46*P47,0)</f>
        <v>2343.75</v>
      </c>
      <c r="Q46" s="26">
        <f>IF(Q47&lt;&gt;"",$D46*Q47,0)</f>
        <v>2343.75</v>
      </c>
      <c r="R46" s="26">
        <f>IF(R47&lt;&gt;"",$D46*R47,0)</f>
        <v>2343.75</v>
      </c>
      <c r="S46" s="26">
        <f>IF(S47&lt;&gt;"",$D46*S47,0)</f>
        <v>2343.75</v>
      </c>
      <c r="T46" s="26"/>
      <c r="U46" s="23"/>
    </row>
    <row r="47" spans="2:260" ht="17.25" customHeight="1">
      <c r="B47" s="67"/>
      <c r="C47" s="142"/>
      <c r="D47" s="14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0.25</v>
      </c>
      <c r="Q47" s="25">
        <v>0.25</v>
      </c>
      <c r="R47" s="25">
        <v>0.25</v>
      </c>
      <c r="S47" s="25">
        <v>0.25</v>
      </c>
      <c r="T47" s="25"/>
      <c r="U47" s="23">
        <f>SUM(E47:T47)</f>
        <v>1</v>
      </c>
    </row>
    <row r="48" spans="2:260" ht="17.25" customHeight="1">
      <c r="B48" s="67"/>
      <c r="C48" s="142"/>
      <c r="D48" s="14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>
        <v>0.5</v>
      </c>
      <c r="T48" s="25">
        <v>0.5</v>
      </c>
      <c r="U48" s="23">
        <f>SUM(E48:T48)</f>
        <v>1</v>
      </c>
    </row>
    <row r="49" spans="2:21" ht="17.25" customHeight="1">
      <c r="B49" s="67" t="s">
        <v>96</v>
      </c>
      <c r="C49" s="142" t="str">
        <f>ORÇAMENTO!$C$138</f>
        <v>GESTÃO DE RESÍDUOS SÓLIDOS NA CONSTRUÇÃO CIVIL</v>
      </c>
      <c r="D49" s="131">
        <f>ORÇAMENTO!$H$138</f>
        <v>3500</v>
      </c>
      <c r="E49" s="6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>
        <f>IF(R50&lt;&gt;"",$D49*R50,0)</f>
        <v>875</v>
      </c>
      <c r="S49" s="26">
        <f>IF(S50&lt;&gt;"",$D49*S50,0)</f>
        <v>875</v>
      </c>
      <c r="T49" s="26">
        <f>IF(T50&lt;&gt;"",$D49*T50,0)</f>
        <v>1750</v>
      </c>
      <c r="U49" s="23"/>
    </row>
    <row r="50" spans="2:21" ht="17.25" customHeight="1">
      <c r="B50" s="67"/>
      <c r="C50" s="142"/>
      <c r="D50" s="14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0.25</v>
      </c>
      <c r="S50" s="25">
        <v>0.25</v>
      </c>
      <c r="T50" s="25">
        <v>0.5</v>
      </c>
      <c r="U50" s="23">
        <f>SUM(E50:T50)</f>
        <v>1</v>
      </c>
    </row>
    <row r="51" spans="2:21" ht="17.25" customHeight="1">
      <c r="B51" s="67" t="s">
        <v>97</v>
      </c>
      <c r="C51" s="142" t="str">
        <f>ORÇAMENTO!$C$146</f>
        <v>SERVIÇOS COMPLEMENTARES</v>
      </c>
      <c r="D51" s="131">
        <f>ORÇAMENTO!$H$146</f>
        <v>4875</v>
      </c>
      <c r="E51" s="69">
        <f t="shared" ref="E51:T51" si="11">IF(E52&lt;&gt;"",$D51*E52,0)</f>
        <v>243.75</v>
      </c>
      <c r="F51" s="26">
        <f t="shared" si="11"/>
        <v>243.75</v>
      </c>
      <c r="G51" s="26">
        <f t="shared" si="11"/>
        <v>243.75</v>
      </c>
      <c r="H51" s="26">
        <f t="shared" si="11"/>
        <v>243.75</v>
      </c>
      <c r="I51" s="26">
        <f t="shared" si="11"/>
        <v>243.75</v>
      </c>
      <c r="J51" s="26">
        <f t="shared" si="11"/>
        <v>243.75</v>
      </c>
      <c r="K51" s="26">
        <f t="shared" si="11"/>
        <v>243.75</v>
      </c>
      <c r="L51" s="26">
        <f t="shared" si="11"/>
        <v>243.75</v>
      </c>
      <c r="M51" s="26">
        <f t="shared" si="11"/>
        <v>243.75</v>
      </c>
      <c r="N51" s="26">
        <f t="shared" si="11"/>
        <v>243.75</v>
      </c>
      <c r="O51" s="26">
        <f t="shared" si="11"/>
        <v>243.75</v>
      </c>
      <c r="P51" s="26">
        <f t="shared" si="11"/>
        <v>243.75</v>
      </c>
      <c r="Q51" s="26">
        <f t="shared" si="11"/>
        <v>487.5</v>
      </c>
      <c r="R51" s="26">
        <f t="shared" si="11"/>
        <v>487.5</v>
      </c>
      <c r="S51" s="26">
        <f t="shared" si="11"/>
        <v>487.5</v>
      </c>
      <c r="T51" s="26">
        <f t="shared" si="11"/>
        <v>487.5</v>
      </c>
      <c r="U51" s="23"/>
    </row>
    <row r="52" spans="2:21" ht="17.25" customHeight="1">
      <c r="B52" s="67"/>
      <c r="C52" s="142"/>
      <c r="D52" s="146"/>
      <c r="E52" s="25">
        <v>0.05</v>
      </c>
      <c r="F52" s="25">
        <v>0.05</v>
      </c>
      <c r="G52" s="25">
        <v>0.05</v>
      </c>
      <c r="H52" s="25">
        <v>0.05</v>
      </c>
      <c r="I52" s="25">
        <v>0.05</v>
      </c>
      <c r="J52" s="25">
        <v>0.05</v>
      </c>
      <c r="K52" s="25">
        <v>0.05</v>
      </c>
      <c r="L52" s="25">
        <v>0.05</v>
      </c>
      <c r="M52" s="25">
        <v>0.05</v>
      </c>
      <c r="N52" s="25">
        <v>0.05</v>
      </c>
      <c r="O52" s="25">
        <v>0.05</v>
      </c>
      <c r="P52" s="25">
        <v>0.05</v>
      </c>
      <c r="Q52" s="25">
        <v>0.1</v>
      </c>
      <c r="R52" s="25">
        <v>0.1</v>
      </c>
      <c r="S52" s="25">
        <v>0.1</v>
      </c>
      <c r="T52" s="25">
        <v>0.1</v>
      </c>
      <c r="U52" s="23">
        <f>SUM(E52:T52)</f>
        <v>0.99999999999999989</v>
      </c>
    </row>
    <row r="53" spans="2:21" ht="39.950000000000003" customHeight="1">
      <c r="B53" s="315" t="str">
        <f>ORÇAMENTO!$C$149</f>
        <v xml:space="preserve">TOTAL COM BDI (R$) </v>
      </c>
      <c r="C53" s="316"/>
      <c r="D53" s="253">
        <f>ORÇAMENTO!$H$149</f>
        <v>677435.42258999997</v>
      </c>
      <c r="E53" s="148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2:21" ht="39.950000000000003" customHeight="1">
      <c r="B54" s="315" t="str">
        <f>ORÇAMENTO!$C$150</f>
        <v>BDI DE 20,00%</v>
      </c>
      <c r="C54" s="316"/>
      <c r="D54" s="253">
        <f>ORÇAMENTO!$H$150</f>
        <v>135487.08451799999</v>
      </c>
      <c r="E54" s="148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</row>
    <row r="55" spans="2:21" ht="39.950000000000003" customHeight="1">
      <c r="B55" s="315" t="str">
        <f>ORÇAMENTO!$C$151</f>
        <v xml:space="preserve">TOTAL SEM BDI (R$) </v>
      </c>
      <c r="C55" s="316"/>
      <c r="D55" s="253">
        <f>ORÇAMENTO!$H$151</f>
        <v>541948.33807199995</v>
      </c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74" spans="7:7" ht="12.75" customHeight="1">
      <c r="G74"/>
    </row>
  </sheetData>
  <mergeCells count="4">
    <mergeCell ref="B8:F8"/>
    <mergeCell ref="B53:C53"/>
    <mergeCell ref="B54:C54"/>
    <mergeCell ref="B55:C55"/>
  </mergeCells>
  <conditionalFormatting sqref="E19:T52">
    <cfRule type="cellIs" dxfId="0" priority="6" stopIfTrue="1" operator="notEqual">
      <formula>0</formula>
    </cfRule>
  </conditionalFormatting>
  <printOptions horizontalCentered="1" verticalCentered="1"/>
  <pageMargins left="0.31496062992125984" right="0.27559055118110237" top="0.39370078740157483" bottom="0.47244094488188981" header="0.31496062992125984" footer="0.31496062992125984"/>
  <pageSetup paperSize="8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60"/>
  <sheetViews>
    <sheetView showGridLines="0" tabSelected="1" view="pageBreakPreview" zoomScaleNormal="100" zoomScaleSheetLayoutView="100" workbookViewId="0">
      <selection activeCell="A110" sqref="A110"/>
    </sheetView>
  </sheetViews>
  <sheetFormatPr defaultRowHeight="15"/>
  <cols>
    <col min="1" max="1" width="17.28515625" customWidth="1"/>
    <col min="3" max="3" width="67.85546875" customWidth="1"/>
    <col min="4" max="4" width="7.28515625" customWidth="1"/>
    <col min="5" max="5" width="10.140625" bestFit="1" customWidth="1"/>
    <col min="6" max="6" width="13.28515625" customWidth="1"/>
    <col min="7" max="7" width="15.28515625" customWidth="1"/>
    <col min="8" max="8" width="28.7109375" style="221" customWidth="1"/>
    <col min="9" max="9" width="12.5703125" style="272" bestFit="1" customWidth="1"/>
    <col min="10" max="10" width="11.5703125" bestFit="1" customWidth="1"/>
    <col min="11" max="11" width="21.7109375" customWidth="1"/>
    <col min="12" max="12" width="23.7109375" customWidth="1"/>
    <col min="15" max="15" width="18.28515625" customWidth="1"/>
  </cols>
  <sheetData>
    <row r="1" spans="1:11" ht="20.45" customHeight="1">
      <c r="A1" s="343" t="s">
        <v>3</v>
      </c>
      <c r="B1" s="343"/>
      <c r="C1" s="343"/>
      <c r="D1" s="343"/>
      <c r="E1" s="343"/>
      <c r="F1" s="343"/>
      <c r="G1" s="343"/>
      <c r="H1" s="343"/>
      <c r="I1" s="271"/>
    </row>
    <row r="2" spans="1:11" ht="18" customHeight="1">
      <c r="A2" s="344" t="s">
        <v>4</v>
      </c>
      <c r="B2" s="344"/>
      <c r="C2" s="344"/>
      <c r="D2" s="344"/>
      <c r="E2" s="344"/>
      <c r="F2" s="344"/>
      <c r="G2" s="344"/>
      <c r="H2" s="344"/>
      <c r="I2" s="271"/>
    </row>
    <row r="3" spans="1:11" ht="22.5" customHeight="1">
      <c r="A3" s="231"/>
      <c r="B3" s="232"/>
      <c r="C3" s="232"/>
      <c r="D3" s="232"/>
      <c r="E3" s="233"/>
      <c r="F3" s="232"/>
      <c r="G3" s="232"/>
      <c r="H3" s="234"/>
      <c r="I3" s="271"/>
    </row>
    <row r="4" spans="1:11" ht="18" customHeight="1">
      <c r="A4" s="346" t="s">
        <v>98</v>
      </c>
      <c r="B4" s="346"/>
      <c r="C4" s="346"/>
      <c r="D4" s="346"/>
      <c r="E4" s="346"/>
      <c r="F4" s="346"/>
      <c r="G4" s="233"/>
      <c r="H4" s="234"/>
      <c r="I4" s="271"/>
    </row>
    <row r="5" spans="1:11" ht="15" customHeight="1">
      <c r="A5" s="345" t="s">
        <v>99</v>
      </c>
      <c r="B5" s="345"/>
      <c r="C5" s="345"/>
      <c r="D5" s="345"/>
      <c r="E5" s="345"/>
      <c r="F5" s="345"/>
      <c r="G5" s="235"/>
      <c r="H5" s="236"/>
      <c r="I5" s="271"/>
    </row>
    <row r="6" spans="1:11" ht="15" customHeight="1" thickBot="1">
      <c r="A6" s="328" t="s">
        <v>49</v>
      </c>
      <c r="B6" s="328"/>
      <c r="C6" s="328"/>
      <c r="D6" s="328"/>
      <c r="E6" s="237"/>
      <c r="F6" s="324"/>
      <c r="G6" s="324"/>
      <c r="H6" s="324"/>
      <c r="I6" s="271"/>
    </row>
    <row r="7" spans="1:11" ht="28.5" customHeight="1">
      <c r="A7" s="335" t="s">
        <v>100</v>
      </c>
      <c r="B7" s="336"/>
      <c r="C7" s="336"/>
      <c r="D7" s="238"/>
      <c r="E7" s="239"/>
      <c r="F7" s="350" t="s">
        <v>101</v>
      </c>
      <c r="G7" s="350"/>
      <c r="H7" s="350"/>
      <c r="I7" s="350"/>
    </row>
    <row r="8" spans="1:11">
      <c r="A8" s="54"/>
      <c r="B8" s="54"/>
      <c r="C8" s="54"/>
      <c r="D8" s="54"/>
      <c r="E8" s="55"/>
      <c r="F8" s="56"/>
      <c r="G8" s="56"/>
      <c r="H8" s="210"/>
    </row>
    <row r="9" spans="1:11">
      <c r="A9" s="40" t="s">
        <v>102</v>
      </c>
      <c r="B9" s="40" t="s">
        <v>62</v>
      </c>
      <c r="C9" s="57" t="s">
        <v>103</v>
      </c>
      <c r="D9" s="40" t="s">
        <v>104</v>
      </c>
      <c r="E9" s="58" t="s">
        <v>105</v>
      </c>
      <c r="F9" s="59" t="s">
        <v>106</v>
      </c>
      <c r="G9" s="59" t="s">
        <v>106</v>
      </c>
      <c r="H9" s="211" t="s">
        <v>107</v>
      </c>
    </row>
    <row r="10" spans="1:11" ht="32.450000000000003" customHeight="1">
      <c r="A10" s="227"/>
      <c r="B10" s="227" t="s">
        <v>108</v>
      </c>
      <c r="C10" s="228" t="s">
        <v>109</v>
      </c>
      <c r="D10" s="229"/>
      <c r="E10" s="230"/>
      <c r="F10" s="230"/>
      <c r="G10" s="230"/>
      <c r="H10" s="226">
        <f>SUM(H11,H17)</f>
        <v>118696.14659</v>
      </c>
      <c r="I10" s="268">
        <f>H10/H149</f>
        <v>0.17521396524586186</v>
      </c>
      <c r="J10" s="60"/>
      <c r="K10" s="222"/>
    </row>
    <row r="11" spans="1:11">
      <c r="A11" s="36"/>
      <c r="B11" s="36" t="s">
        <v>110</v>
      </c>
      <c r="C11" s="37" t="s">
        <v>111</v>
      </c>
      <c r="D11" s="38"/>
      <c r="E11" s="39"/>
      <c r="F11" s="39"/>
      <c r="G11" s="39"/>
      <c r="H11" s="213">
        <f>SUM(H12:H16)</f>
        <v>16644.936589999998</v>
      </c>
      <c r="I11" s="269">
        <f>H11/H149</f>
        <v>2.457051408141955E-2</v>
      </c>
      <c r="K11" s="222"/>
    </row>
    <row r="12" spans="1:11">
      <c r="A12" s="40" t="s">
        <v>112</v>
      </c>
      <c r="B12" s="41" t="s">
        <v>113</v>
      </c>
      <c r="C12" s="42" t="s">
        <v>114</v>
      </c>
      <c r="D12" s="43" t="s">
        <v>115</v>
      </c>
      <c r="E12" s="44">
        <v>3</v>
      </c>
      <c r="F12" s="45">
        <v>150</v>
      </c>
      <c r="G12" s="45">
        <v>450</v>
      </c>
      <c r="H12" s="209">
        <v>450</v>
      </c>
      <c r="I12" s="270">
        <f>H12/H149</f>
        <v>6.6426995842576528E-4</v>
      </c>
    </row>
    <row r="13" spans="1:11">
      <c r="A13" s="40"/>
      <c r="B13" s="41" t="s">
        <v>116</v>
      </c>
      <c r="C13" s="42" t="s">
        <v>117</v>
      </c>
      <c r="D13" s="43" t="s">
        <v>115</v>
      </c>
      <c r="E13" s="44">
        <v>1</v>
      </c>
      <c r="F13" s="45"/>
      <c r="G13" s="45"/>
      <c r="H13" s="209">
        <v>2194.9365899999998</v>
      </c>
      <c r="I13" s="270">
        <f>H13/H149</f>
        <v>3.2400676386366463E-3</v>
      </c>
    </row>
    <row r="14" spans="1:11">
      <c r="A14" s="40"/>
      <c r="B14" s="41" t="s">
        <v>118</v>
      </c>
      <c r="C14" s="42" t="s">
        <v>119</v>
      </c>
      <c r="D14" s="43" t="s">
        <v>115</v>
      </c>
      <c r="E14" s="44">
        <v>1</v>
      </c>
      <c r="F14" s="45"/>
      <c r="G14" s="45"/>
      <c r="H14" s="209">
        <v>4000</v>
      </c>
      <c r="I14" s="270">
        <f>H14/H149</f>
        <v>5.9046218526734688E-3</v>
      </c>
    </row>
    <row r="15" spans="1:11">
      <c r="A15" s="40"/>
      <c r="B15" s="41" t="s">
        <v>120</v>
      </c>
      <c r="C15" s="42" t="s">
        <v>121</v>
      </c>
      <c r="D15" s="43" t="s">
        <v>115</v>
      </c>
      <c r="E15" s="44">
        <v>1</v>
      </c>
      <c r="F15" s="45"/>
      <c r="G15" s="45"/>
      <c r="H15" s="209">
        <v>4000</v>
      </c>
      <c r="I15" s="270">
        <f>H15/H149</f>
        <v>5.9046218526734688E-3</v>
      </c>
    </row>
    <row r="16" spans="1:11">
      <c r="A16" s="40"/>
      <c r="B16" s="41" t="s">
        <v>122</v>
      </c>
      <c r="C16" s="42" t="s">
        <v>123</v>
      </c>
      <c r="D16" s="43" t="s">
        <v>115</v>
      </c>
      <c r="E16" s="44">
        <v>1</v>
      </c>
      <c r="F16" s="45"/>
      <c r="G16" s="45"/>
      <c r="H16" s="209">
        <v>6000</v>
      </c>
      <c r="I16" s="270">
        <f>H16/H149</f>
        <v>8.8569327790102032E-3</v>
      </c>
    </row>
    <row r="17" spans="1:12">
      <c r="A17" s="36" t="s">
        <v>124</v>
      </c>
      <c r="B17" s="36" t="s">
        <v>125</v>
      </c>
      <c r="C17" s="37" t="s">
        <v>126</v>
      </c>
      <c r="D17" s="38"/>
      <c r="E17" s="39"/>
      <c r="F17" s="39"/>
      <c r="G17" s="39"/>
      <c r="H17" s="213">
        <f>SUM(H18:H24)</f>
        <v>102051.21</v>
      </c>
      <c r="I17" s="269">
        <f>H17/H149</f>
        <v>0.15064345116444233</v>
      </c>
      <c r="K17" s="222"/>
    </row>
    <row r="18" spans="1:12" ht="30.75" customHeight="1">
      <c r="A18" s="40" t="s">
        <v>127</v>
      </c>
      <c r="B18" s="41" t="s">
        <v>128</v>
      </c>
      <c r="C18" s="141" t="s">
        <v>129</v>
      </c>
      <c r="D18" s="43" t="s">
        <v>130</v>
      </c>
      <c r="E18" s="44">
        <v>180</v>
      </c>
      <c r="F18" s="45">
        <v>123.67</v>
      </c>
      <c r="G18" s="45">
        <f t="shared" ref="G18:G24" si="0">F18*E18</f>
        <v>22260.6</v>
      </c>
      <c r="H18" s="209">
        <f t="shared" ref="H18:H23" si="1">G18</f>
        <v>22260.6</v>
      </c>
      <c r="I18" s="270">
        <f>H18/H149</f>
        <v>3.2860106303405752E-2</v>
      </c>
      <c r="K18" s="222"/>
    </row>
    <row r="19" spans="1:12" ht="30.75" customHeight="1">
      <c r="A19" s="40" t="s">
        <v>131</v>
      </c>
      <c r="B19" s="41" t="s">
        <v>132</v>
      </c>
      <c r="C19" s="141" t="s">
        <v>133</v>
      </c>
      <c r="D19" s="43" t="s">
        <v>130</v>
      </c>
      <c r="E19" s="44">
        <v>180</v>
      </c>
      <c r="F19" s="45">
        <v>109.22</v>
      </c>
      <c r="G19" s="45">
        <f t="shared" ref="G19" si="2">F19*E19</f>
        <v>19659.599999999999</v>
      </c>
      <c r="H19" s="209">
        <f t="shared" si="1"/>
        <v>19659.599999999999</v>
      </c>
      <c r="I19" s="270">
        <f>H19/H149</f>
        <v>2.9020625943704831E-2</v>
      </c>
    </row>
    <row r="20" spans="1:12">
      <c r="A20" s="40" t="s">
        <v>134</v>
      </c>
      <c r="B20" s="41" t="s">
        <v>135</v>
      </c>
      <c r="C20" s="141" t="s">
        <v>136</v>
      </c>
      <c r="D20" s="43" t="s">
        <v>130</v>
      </c>
      <c r="E20" s="44">
        <v>120</v>
      </c>
      <c r="F20" s="45">
        <v>109.22</v>
      </c>
      <c r="G20" s="45">
        <f t="shared" ref="G20" si="3">F20*E20</f>
        <v>13106.4</v>
      </c>
      <c r="H20" s="209">
        <f t="shared" si="1"/>
        <v>13106.4</v>
      </c>
      <c r="I20" s="270">
        <f>H20/H149</f>
        <v>1.934708396246989E-2</v>
      </c>
    </row>
    <row r="21" spans="1:12" ht="30.75" customHeight="1">
      <c r="A21" s="40" t="s">
        <v>137</v>
      </c>
      <c r="B21" s="41" t="s">
        <v>138</v>
      </c>
      <c r="C21" s="141" t="s">
        <v>139</v>
      </c>
      <c r="D21" s="43" t="s">
        <v>140</v>
      </c>
      <c r="E21" s="44">
        <v>2</v>
      </c>
      <c r="F21" s="45">
        <v>4980.42</v>
      </c>
      <c r="G21" s="45">
        <f t="shared" ref="G21" si="4">F21*E21</f>
        <v>9960.84</v>
      </c>
      <c r="H21" s="209">
        <f t="shared" si="1"/>
        <v>9960.84</v>
      </c>
      <c r="I21" s="270">
        <f>H21/H149</f>
        <v>1.4703748383745999E-2</v>
      </c>
    </row>
    <row r="22" spans="1:12" ht="30.75" customHeight="1">
      <c r="A22" s="40" t="s">
        <v>141</v>
      </c>
      <c r="B22" s="41" t="s">
        <v>142</v>
      </c>
      <c r="C22" s="141" t="s">
        <v>143</v>
      </c>
      <c r="D22" s="43" t="s">
        <v>130</v>
      </c>
      <c r="E22" s="44">
        <v>45</v>
      </c>
      <c r="F22" s="45">
        <v>93.85</v>
      </c>
      <c r="G22" s="45">
        <f t="shared" ref="G22" si="5">F22*E22</f>
        <v>4223.25</v>
      </c>
      <c r="H22" s="209">
        <f t="shared" si="1"/>
        <v>4223.25</v>
      </c>
      <c r="I22" s="270">
        <f>H22/H149</f>
        <v>6.2341735598258072E-3</v>
      </c>
    </row>
    <row r="23" spans="1:12" ht="30.75" customHeight="1">
      <c r="A23" s="40" t="s">
        <v>144</v>
      </c>
      <c r="B23" s="41" t="s">
        <v>145</v>
      </c>
      <c r="C23" s="141" t="s">
        <v>146</v>
      </c>
      <c r="D23" s="43" t="s">
        <v>140</v>
      </c>
      <c r="E23" s="44">
        <v>2</v>
      </c>
      <c r="F23" s="45">
        <v>4763.07</v>
      </c>
      <c r="G23" s="45">
        <f t="shared" ref="G23" si="6">F23*E23</f>
        <v>9526.14</v>
      </c>
      <c r="H23" s="209">
        <f t="shared" si="1"/>
        <v>9526.14</v>
      </c>
      <c r="I23" s="270">
        <f>H23/H149</f>
        <v>1.4062063603906709E-2</v>
      </c>
    </row>
    <row r="24" spans="1:12" ht="26.25" customHeight="1">
      <c r="A24" s="40" t="s">
        <v>147</v>
      </c>
      <c r="B24" s="41" t="s">
        <v>148</v>
      </c>
      <c r="C24" s="141" t="s">
        <v>149</v>
      </c>
      <c r="D24" s="43" t="s">
        <v>140</v>
      </c>
      <c r="E24" s="44">
        <v>3</v>
      </c>
      <c r="F24" s="45">
        <v>7771.46</v>
      </c>
      <c r="G24" s="45">
        <f t="shared" si="0"/>
        <v>23314.38</v>
      </c>
      <c r="H24" s="209">
        <f t="shared" ref="H24" si="7">G24</f>
        <v>23314.38</v>
      </c>
      <c r="I24" s="270">
        <f>H24/H149</f>
        <v>3.4415649407383321E-2</v>
      </c>
    </row>
    <row r="25" spans="1:12" ht="40.9" customHeight="1">
      <c r="A25" s="240" t="s">
        <v>150</v>
      </c>
      <c r="B25" s="227" t="s">
        <v>151</v>
      </c>
      <c r="C25" s="320" t="s">
        <v>152</v>
      </c>
      <c r="D25" s="321"/>
      <c r="E25" s="321"/>
      <c r="F25" s="321"/>
      <c r="G25" s="322"/>
      <c r="H25" s="226">
        <f>SUM(H26:H29)</f>
        <v>5564.64</v>
      </c>
      <c r="I25" s="268">
        <f>H25/H149</f>
        <v>8.2142737365652231E-3</v>
      </c>
    </row>
    <row r="26" spans="1:12" ht="29.25">
      <c r="A26" s="40" t="s">
        <v>153</v>
      </c>
      <c r="B26" s="41" t="s">
        <v>29</v>
      </c>
      <c r="C26" s="46" t="s">
        <v>154</v>
      </c>
      <c r="D26" s="43" t="s">
        <v>155</v>
      </c>
      <c r="E26" s="44">
        <v>1</v>
      </c>
      <c r="F26" s="45">
        <v>430</v>
      </c>
      <c r="G26" s="45">
        <f t="shared" ref="G26:G29" si="8">F26*E26</f>
        <v>430</v>
      </c>
      <c r="H26" s="209">
        <f>G26+(G26*0.2)</f>
        <v>516</v>
      </c>
      <c r="I26" s="266">
        <f>H26/H149</f>
        <v>7.6169621899487754E-4</v>
      </c>
    </row>
    <row r="27" spans="1:12" ht="30" customHeight="1">
      <c r="A27" s="40"/>
      <c r="B27" s="41" t="s">
        <v>32</v>
      </c>
      <c r="C27" s="46" t="s">
        <v>156</v>
      </c>
      <c r="D27" s="43" t="s">
        <v>155</v>
      </c>
      <c r="E27" s="44">
        <v>10</v>
      </c>
      <c r="F27" s="45">
        <v>350</v>
      </c>
      <c r="G27" s="45">
        <f t="shared" si="8"/>
        <v>3500</v>
      </c>
      <c r="H27" s="209">
        <f>G27+(G27*0.2)</f>
        <v>4200</v>
      </c>
      <c r="I27" s="266">
        <f>H27/H149</f>
        <v>6.1998529453071421E-3</v>
      </c>
    </row>
    <row r="28" spans="1:12" ht="30" customHeight="1">
      <c r="A28" s="31"/>
      <c r="B28" s="41" t="s">
        <v>35</v>
      </c>
      <c r="C28" s="46" t="s">
        <v>157</v>
      </c>
      <c r="D28" s="43" t="s">
        <v>155</v>
      </c>
      <c r="E28" s="44">
        <v>20</v>
      </c>
      <c r="F28" s="44">
        <v>10.199999999999999</v>
      </c>
      <c r="G28" s="45">
        <f t="shared" si="8"/>
        <v>204</v>
      </c>
      <c r="H28" s="209">
        <f>G28+(G28*0.2)</f>
        <v>244.8</v>
      </c>
      <c r="I28" s="266">
        <f>H28/H149</f>
        <v>3.6136285738361631E-4</v>
      </c>
    </row>
    <row r="29" spans="1:12" ht="45" customHeight="1">
      <c r="A29" s="31"/>
      <c r="B29" s="41" t="s">
        <v>38</v>
      </c>
      <c r="C29" s="46" t="s">
        <v>158</v>
      </c>
      <c r="D29" s="43" t="s">
        <v>155</v>
      </c>
      <c r="E29" s="44">
        <v>10</v>
      </c>
      <c r="F29" s="44">
        <v>50.32</v>
      </c>
      <c r="G29" s="45">
        <f t="shared" si="8"/>
        <v>503.2</v>
      </c>
      <c r="H29" s="209">
        <f>G29+(G29*0.2)</f>
        <v>603.84</v>
      </c>
      <c r="I29" s="266">
        <f>H29/H149</f>
        <v>8.9136171487958697E-4</v>
      </c>
      <c r="L29" s="222"/>
    </row>
    <row r="30" spans="1:12" ht="46.9" customHeight="1">
      <c r="A30" s="224" t="s">
        <v>159</v>
      </c>
      <c r="B30" s="265" t="s">
        <v>160</v>
      </c>
      <c r="C30" s="347" t="s">
        <v>161</v>
      </c>
      <c r="D30" s="348"/>
      <c r="E30" s="348"/>
      <c r="F30" s="348"/>
      <c r="G30" s="349"/>
      <c r="H30" s="226">
        <f>SUM(H31,H34,H39,H49,H59,H68,H85)</f>
        <v>137589.24</v>
      </c>
      <c r="I30" s="268">
        <f>H30/H149</f>
        <v>0.20310310829918363</v>
      </c>
      <c r="K30" s="222"/>
    </row>
    <row r="31" spans="1:12">
      <c r="A31" s="32" t="s">
        <v>162</v>
      </c>
      <c r="B31" s="32" t="s">
        <v>163</v>
      </c>
      <c r="C31" s="33" t="s">
        <v>164</v>
      </c>
      <c r="D31" s="203" t="s">
        <v>104</v>
      </c>
      <c r="E31" s="204" t="s">
        <v>105</v>
      </c>
      <c r="F31" s="204" t="s">
        <v>106</v>
      </c>
      <c r="G31" s="204" t="s">
        <v>106</v>
      </c>
      <c r="H31" s="207">
        <f>SUM(H32:H33)</f>
        <v>2472.48</v>
      </c>
      <c r="I31" s="267">
        <f>H31/H149</f>
        <v>3.6497648595745246E-3</v>
      </c>
      <c r="K31" s="222"/>
    </row>
    <row r="32" spans="1:12" ht="27">
      <c r="A32" s="31" t="s">
        <v>165</v>
      </c>
      <c r="B32" s="41" t="s">
        <v>166</v>
      </c>
      <c r="C32" s="202" t="s">
        <v>167</v>
      </c>
      <c r="D32" s="195" t="s">
        <v>168</v>
      </c>
      <c r="E32" s="44">
        <v>1500</v>
      </c>
      <c r="F32" s="44">
        <v>1.2</v>
      </c>
      <c r="G32" s="45">
        <f t="shared" ref="G32" si="9">F32*E32</f>
        <v>1800</v>
      </c>
      <c r="H32" s="209">
        <f>G32+(G32*0.2)</f>
        <v>2160</v>
      </c>
      <c r="I32" s="266">
        <f>H32/H149</f>
        <v>3.1884958004436731E-3</v>
      </c>
    </row>
    <row r="33" spans="1:12" ht="27">
      <c r="A33" s="31" t="s">
        <v>169</v>
      </c>
      <c r="B33" s="41" t="s">
        <v>170</v>
      </c>
      <c r="C33" s="202" t="s">
        <v>171</v>
      </c>
      <c r="D33" s="195" t="s">
        <v>155</v>
      </c>
      <c r="E33" s="44">
        <v>120</v>
      </c>
      <c r="F33" s="44">
        <v>2.17</v>
      </c>
      <c r="G33" s="45">
        <f t="shared" ref="G33" si="10">F33*E33</f>
        <v>260.39999999999998</v>
      </c>
      <c r="H33" s="209">
        <f>G33+(G33*0.2)</f>
        <v>312.47999999999996</v>
      </c>
      <c r="I33" s="266">
        <f>H33/H149</f>
        <v>4.6126905913085136E-4</v>
      </c>
    </row>
    <row r="34" spans="1:12" ht="18" customHeight="1">
      <c r="A34" s="32" t="s">
        <v>162</v>
      </c>
      <c r="B34" s="32" t="s">
        <v>172</v>
      </c>
      <c r="C34" s="33" t="s">
        <v>173</v>
      </c>
      <c r="D34" s="203" t="s">
        <v>104</v>
      </c>
      <c r="E34" s="204" t="s">
        <v>105</v>
      </c>
      <c r="F34" s="204" t="s">
        <v>106</v>
      </c>
      <c r="G34" s="204" t="s">
        <v>106</v>
      </c>
      <c r="H34" s="207">
        <f>SUM(H35:H38)</f>
        <v>1080</v>
      </c>
      <c r="I34" s="267">
        <f>H34/H149</f>
        <v>1.5942479002218366E-3</v>
      </c>
      <c r="K34" s="222"/>
    </row>
    <row r="35" spans="1:12">
      <c r="A35" s="41" t="s">
        <v>124</v>
      </c>
      <c r="B35" s="41" t="s">
        <v>174</v>
      </c>
      <c r="C35" s="202" t="s">
        <v>175</v>
      </c>
      <c r="D35" s="195" t="s">
        <v>155</v>
      </c>
      <c r="E35" s="44">
        <v>1</v>
      </c>
      <c r="F35" s="44">
        <v>1</v>
      </c>
      <c r="G35" s="45">
        <v>300</v>
      </c>
      <c r="H35" s="209">
        <f t="shared" ref="H35:H37" si="11">G35+(G35*0.2)</f>
        <v>360</v>
      </c>
      <c r="I35" s="266">
        <f>H35/H149</f>
        <v>5.3141596674061218E-4</v>
      </c>
    </row>
    <row r="36" spans="1:12">
      <c r="A36" s="41" t="s">
        <v>124</v>
      </c>
      <c r="B36" s="41" t="s">
        <v>176</v>
      </c>
      <c r="C36" s="202" t="s">
        <v>177</v>
      </c>
      <c r="D36" s="195" t="s">
        <v>155</v>
      </c>
      <c r="E36" s="44">
        <v>1</v>
      </c>
      <c r="F36" s="44">
        <v>1</v>
      </c>
      <c r="G36" s="45">
        <v>300</v>
      </c>
      <c r="H36" s="209">
        <f t="shared" si="11"/>
        <v>360</v>
      </c>
      <c r="I36" s="266">
        <f>H36/H149</f>
        <v>5.3141596674061218E-4</v>
      </c>
    </row>
    <row r="37" spans="1:12">
      <c r="A37" s="41" t="s">
        <v>124</v>
      </c>
      <c r="B37" s="41" t="s">
        <v>178</v>
      </c>
      <c r="C37" s="202" t="s">
        <v>179</v>
      </c>
      <c r="D37" s="195" t="s">
        <v>155</v>
      </c>
      <c r="E37" s="44">
        <v>1</v>
      </c>
      <c r="F37" s="44">
        <v>1</v>
      </c>
      <c r="G37" s="45">
        <v>300</v>
      </c>
      <c r="H37" s="209">
        <f t="shared" si="11"/>
        <v>360</v>
      </c>
      <c r="I37" s="266">
        <f>H37/H149</f>
        <v>5.3141596674061218E-4</v>
      </c>
    </row>
    <row r="38" spans="1:12">
      <c r="A38" s="41" t="s">
        <v>124</v>
      </c>
      <c r="B38" s="41" t="s">
        <v>180</v>
      </c>
      <c r="C38" s="202" t="s">
        <v>181</v>
      </c>
      <c r="D38" s="195" t="s">
        <v>155</v>
      </c>
      <c r="E38" s="185" t="s">
        <v>182</v>
      </c>
      <c r="F38" s="185"/>
      <c r="G38" s="187"/>
      <c r="H38" s="214"/>
      <c r="I38" s="273"/>
    </row>
    <row r="39" spans="1:12">
      <c r="A39" s="32" t="s">
        <v>162</v>
      </c>
      <c r="B39" s="32" t="s">
        <v>183</v>
      </c>
      <c r="C39" s="33" t="s">
        <v>184</v>
      </c>
      <c r="D39" s="203" t="s">
        <v>104</v>
      </c>
      <c r="E39" s="204" t="s">
        <v>105</v>
      </c>
      <c r="F39" s="204" t="s">
        <v>106</v>
      </c>
      <c r="G39" s="204" t="s">
        <v>106</v>
      </c>
      <c r="H39" s="207">
        <f>SUM(H40:H48)</f>
        <v>8249.9279999999999</v>
      </c>
      <c r="I39" s="267">
        <f>H39/H149</f>
        <v>1.2178176287945682E-2</v>
      </c>
      <c r="K39" s="222"/>
    </row>
    <row r="40" spans="1:12" ht="124.9" customHeight="1">
      <c r="A40" s="41" t="s">
        <v>124</v>
      </c>
      <c r="B40" s="41" t="s">
        <v>185</v>
      </c>
      <c r="C40" s="202" t="s">
        <v>186</v>
      </c>
      <c r="D40" s="195" t="s">
        <v>155</v>
      </c>
      <c r="E40" s="44">
        <v>1</v>
      </c>
      <c r="F40" s="44">
        <v>1200</v>
      </c>
      <c r="G40" s="45">
        <f t="shared" ref="G40" si="12">F40*E40</f>
        <v>1200</v>
      </c>
      <c r="H40" s="209">
        <f>G40+(G40*0.2)</f>
        <v>1440</v>
      </c>
      <c r="I40" s="266">
        <f>H40/H149</f>
        <v>2.1256638669624487E-3</v>
      </c>
      <c r="L40" s="222"/>
    </row>
    <row r="41" spans="1:12" ht="54">
      <c r="A41" s="31" t="s">
        <v>187</v>
      </c>
      <c r="B41" s="41" t="s">
        <v>188</v>
      </c>
      <c r="C41" s="202" t="s">
        <v>189</v>
      </c>
      <c r="D41" s="195" t="s">
        <v>155</v>
      </c>
      <c r="E41" s="44">
        <v>1</v>
      </c>
      <c r="F41" s="44">
        <v>1191.19</v>
      </c>
      <c r="G41" s="45">
        <f t="shared" ref="G41" si="13">F41*E41</f>
        <v>1191.19</v>
      </c>
      <c r="H41" s="209">
        <f>G41+(G41*0.2)</f>
        <v>1429.4280000000001</v>
      </c>
      <c r="I41" s="266">
        <f>H41/H149</f>
        <v>2.1100579514058328E-3</v>
      </c>
    </row>
    <row r="42" spans="1:12" ht="27">
      <c r="A42" s="31" t="s">
        <v>190</v>
      </c>
      <c r="B42" s="41" t="s">
        <v>191</v>
      </c>
      <c r="C42" s="202" t="s">
        <v>192</v>
      </c>
      <c r="D42" s="195" t="s">
        <v>155</v>
      </c>
      <c r="E42" s="44">
        <v>25</v>
      </c>
      <c r="F42" s="44">
        <v>41.46</v>
      </c>
      <c r="G42" s="45">
        <f t="shared" ref="G42:G48" si="14">F42*E42</f>
        <v>1036.5</v>
      </c>
      <c r="H42" s="209">
        <f t="shared" ref="H42:H48" si="15">G42+(G42*0.2)</f>
        <v>1243.8</v>
      </c>
      <c r="I42" s="266">
        <f>H42/H149</f>
        <v>1.8360421650888152E-3</v>
      </c>
    </row>
    <row r="43" spans="1:12" ht="27">
      <c r="A43" s="31" t="s">
        <v>193</v>
      </c>
      <c r="B43" s="41" t="s">
        <v>194</v>
      </c>
      <c r="C43" s="202" t="s">
        <v>195</v>
      </c>
      <c r="D43" s="195" t="s">
        <v>155</v>
      </c>
      <c r="E43" s="44">
        <v>25</v>
      </c>
      <c r="F43" s="44">
        <v>33.89</v>
      </c>
      <c r="G43" s="45">
        <f t="shared" si="14"/>
        <v>847.25</v>
      </c>
      <c r="H43" s="209">
        <f t="shared" si="15"/>
        <v>1016.7</v>
      </c>
      <c r="I43" s="266">
        <f>H43/H149</f>
        <v>1.5008072594032791E-3</v>
      </c>
    </row>
    <row r="44" spans="1:12" ht="27">
      <c r="A44" s="31" t="s">
        <v>196</v>
      </c>
      <c r="B44" s="41" t="s">
        <v>197</v>
      </c>
      <c r="C44" s="202" t="s">
        <v>198</v>
      </c>
      <c r="D44" s="195" t="s">
        <v>155</v>
      </c>
      <c r="E44" s="44">
        <v>30</v>
      </c>
      <c r="F44" s="44">
        <v>20</v>
      </c>
      <c r="G44" s="45">
        <f t="shared" si="14"/>
        <v>600</v>
      </c>
      <c r="H44" s="209">
        <f t="shared" si="15"/>
        <v>720</v>
      </c>
      <c r="I44" s="266">
        <f>H44/H149</f>
        <v>1.0628319334812244E-3</v>
      </c>
    </row>
    <row r="45" spans="1:12" ht="27">
      <c r="A45" s="31" t="s">
        <v>196</v>
      </c>
      <c r="B45" s="41" t="s">
        <v>199</v>
      </c>
      <c r="C45" s="202" t="s">
        <v>200</v>
      </c>
      <c r="D45" s="195" t="s">
        <v>155</v>
      </c>
      <c r="E45" s="44">
        <v>30</v>
      </c>
      <c r="F45" s="44">
        <v>20</v>
      </c>
      <c r="G45" s="45">
        <f t="shared" si="14"/>
        <v>600</v>
      </c>
      <c r="H45" s="209">
        <f t="shared" si="15"/>
        <v>720</v>
      </c>
      <c r="I45" s="266">
        <f>H45/H149</f>
        <v>1.0628319334812244E-3</v>
      </c>
    </row>
    <row r="46" spans="1:12" ht="27">
      <c r="A46" s="31" t="s">
        <v>196</v>
      </c>
      <c r="B46" s="41" t="s">
        <v>201</v>
      </c>
      <c r="C46" s="202" t="s">
        <v>202</v>
      </c>
      <c r="D46" s="195" t="s">
        <v>155</v>
      </c>
      <c r="E46" s="44">
        <v>30</v>
      </c>
      <c r="F46" s="44">
        <v>20</v>
      </c>
      <c r="G46" s="45">
        <f t="shared" si="14"/>
        <v>600</v>
      </c>
      <c r="H46" s="209">
        <f t="shared" si="15"/>
        <v>720</v>
      </c>
      <c r="I46" s="266">
        <f>H46/H149</f>
        <v>1.0628319334812244E-3</v>
      </c>
    </row>
    <row r="47" spans="1:12">
      <c r="A47" s="31" t="s">
        <v>196</v>
      </c>
      <c r="B47" s="41" t="s">
        <v>203</v>
      </c>
      <c r="C47" s="202" t="s">
        <v>204</v>
      </c>
      <c r="D47" s="195" t="s">
        <v>155</v>
      </c>
      <c r="E47" s="44">
        <v>20</v>
      </c>
      <c r="F47" s="44">
        <v>20</v>
      </c>
      <c r="G47" s="45">
        <f t="shared" si="14"/>
        <v>400</v>
      </c>
      <c r="H47" s="209">
        <f t="shared" si="15"/>
        <v>480</v>
      </c>
      <c r="I47" s="266">
        <f>H47/H149</f>
        <v>7.0855462232081632E-4</v>
      </c>
    </row>
    <row r="48" spans="1:12">
      <c r="A48" s="31" t="s">
        <v>196</v>
      </c>
      <c r="B48" s="41" t="s">
        <v>205</v>
      </c>
      <c r="C48" s="202" t="s">
        <v>206</v>
      </c>
      <c r="D48" s="195" t="s">
        <v>155</v>
      </c>
      <c r="E48" s="44">
        <v>20</v>
      </c>
      <c r="F48" s="44">
        <v>20</v>
      </c>
      <c r="G48" s="45">
        <f t="shared" si="14"/>
        <v>400</v>
      </c>
      <c r="H48" s="209">
        <f t="shared" si="15"/>
        <v>480</v>
      </c>
      <c r="I48" s="266">
        <f>H48/H149</f>
        <v>7.0855462232081632E-4</v>
      </c>
    </row>
    <row r="49" spans="1:12">
      <c r="A49" s="32" t="s">
        <v>162</v>
      </c>
      <c r="B49" s="32" t="s">
        <v>207</v>
      </c>
      <c r="C49" s="33" t="s">
        <v>208</v>
      </c>
      <c r="D49" s="203" t="s">
        <v>104</v>
      </c>
      <c r="E49" s="204" t="s">
        <v>105</v>
      </c>
      <c r="F49" s="204" t="s">
        <v>106</v>
      </c>
      <c r="G49" s="204" t="s">
        <v>106</v>
      </c>
      <c r="H49" s="207">
        <f>SUM(H50:H58)</f>
        <v>38938.259999999995</v>
      </c>
      <c r="I49" s="267">
        <f>H49/H149</f>
        <v>5.7478925225270303E-2</v>
      </c>
      <c r="K49" s="222"/>
      <c r="L49" s="222"/>
    </row>
    <row r="50" spans="1:12" ht="27">
      <c r="A50" s="31" t="s">
        <v>209</v>
      </c>
      <c r="B50" s="41" t="s">
        <v>210</v>
      </c>
      <c r="C50" s="202" t="s">
        <v>211</v>
      </c>
      <c r="D50" s="195" t="s">
        <v>168</v>
      </c>
      <c r="E50" s="44">
        <v>500</v>
      </c>
      <c r="F50" s="44">
        <v>9.41</v>
      </c>
      <c r="G50" s="45">
        <f t="shared" ref="G50" si="16">F50*E50</f>
        <v>4705</v>
      </c>
      <c r="H50" s="209">
        <f>G50+(G50*0.2)</f>
        <v>5646</v>
      </c>
      <c r="I50" s="266">
        <f>H50/H149</f>
        <v>8.3343737450486018E-3</v>
      </c>
    </row>
    <row r="51" spans="1:12" ht="27">
      <c r="A51" s="31" t="s">
        <v>212</v>
      </c>
      <c r="B51" s="41" t="s">
        <v>213</v>
      </c>
      <c r="C51" s="202" t="s">
        <v>214</v>
      </c>
      <c r="D51" s="195" t="s">
        <v>168</v>
      </c>
      <c r="E51" s="44">
        <v>500</v>
      </c>
      <c r="F51" s="44">
        <v>13.49</v>
      </c>
      <c r="G51" s="45">
        <f t="shared" ref="G51:G58" si="17">F51*E51</f>
        <v>6745</v>
      </c>
      <c r="H51" s="209">
        <f t="shared" ref="H51:H58" si="18">G51+(G51*0.2)</f>
        <v>8094</v>
      </c>
      <c r="I51" s="266">
        <f>H51/H149</f>
        <v>1.1948002318884765E-2</v>
      </c>
    </row>
    <row r="52" spans="1:12" ht="40.5">
      <c r="A52" s="31" t="s">
        <v>215</v>
      </c>
      <c r="B52" s="41" t="s">
        <v>216</v>
      </c>
      <c r="C52" s="202" t="s">
        <v>217</v>
      </c>
      <c r="D52" s="195" t="s">
        <v>168</v>
      </c>
      <c r="E52" s="44">
        <v>500</v>
      </c>
      <c r="F52" s="44">
        <v>14.58</v>
      </c>
      <c r="G52" s="45">
        <f t="shared" si="17"/>
        <v>7290</v>
      </c>
      <c r="H52" s="209">
        <f t="shared" si="18"/>
        <v>8748</v>
      </c>
      <c r="I52" s="266">
        <f>H52/H149</f>
        <v>1.2913407991796877E-2</v>
      </c>
    </row>
    <row r="53" spans="1:12" ht="40.5">
      <c r="A53" s="31" t="s">
        <v>218</v>
      </c>
      <c r="B53" s="41" t="s">
        <v>219</v>
      </c>
      <c r="C53" s="202" t="s">
        <v>220</v>
      </c>
      <c r="D53" s="195" t="s">
        <v>168</v>
      </c>
      <c r="E53" s="44">
        <v>100</v>
      </c>
      <c r="F53" s="44">
        <v>17.73</v>
      </c>
      <c r="G53" s="45">
        <f t="shared" si="17"/>
        <v>1773</v>
      </c>
      <c r="H53" s="209">
        <f t="shared" si="18"/>
        <v>2127.6</v>
      </c>
      <c r="I53" s="266">
        <f>H53/H149</f>
        <v>3.140668363437018E-3</v>
      </c>
    </row>
    <row r="54" spans="1:12" ht="27">
      <c r="A54" s="31" t="s">
        <v>134</v>
      </c>
      <c r="B54" s="41" t="s">
        <v>221</v>
      </c>
      <c r="C54" s="202" t="s">
        <v>222</v>
      </c>
      <c r="D54" s="195" t="s">
        <v>168</v>
      </c>
      <c r="E54" s="44">
        <v>100</v>
      </c>
      <c r="F54" s="44">
        <v>110</v>
      </c>
      <c r="G54" s="45">
        <f t="shared" si="17"/>
        <v>11000</v>
      </c>
      <c r="H54" s="209">
        <f t="shared" si="18"/>
        <v>13200</v>
      </c>
      <c r="I54" s="266">
        <f>H54/H149</f>
        <v>1.9485252113822446E-2</v>
      </c>
    </row>
    <row r="55" spans="1:12">
      <c r="A55" s="31" t="s">
        <v>134</v>
      </c>
      <c r="B55" s="41" t="s">
        <v>223</v>
      </c>
      <c r="C55" s="202" t="s">
        <v>224</v>
      </c>
      <c r="D55" s="195" t="s">
        <v>155</v>
      </c>
      <c r="E55" s="44">
        <v>5</v>
      </c>
      <c r="F55" s="44">
        <v>20.91</v>
      </c>
      <c r="G55" s="45">
        <f t="shared" si="17"/>
        <v>104.55</v>
      </c>
      <c r="H55" s="209">
        <f t="shared" si="18"/>
        <v>125.46</v>
      </c>
      <c r="I55" s="266">
        <f>H55/H149</f>
        <v>1.8519846440910335E-4</v>
      </c>
    </row>
    <row r="56" spans="1:12">
      <c r="A56" s="31" t="s">
        <v>134</v>
      </c>
      <c r="B56" s="41" t="s">
        <v>225</v>
      </c>
      <c r="C56" s="202" t="s">
        <v>226</v>
      </c>
      <c r="D56" s="195" t="s">
        <v>155</v>
      </c>
      <c r="E56" s="44">
        <v>20</v>
      </c>
      <c r="F56" s="44">
        <v>20.91</v>
      </c>
      <c r="G56" s="45">
        <f t="shared" si="17"/>
        <v>418.2</v>
      </c>
      <c r="H56" s="209">
        <f t="shared" si="18"/>
        <v>501.84</v>
      </c>
      <c r="I56" s="266">
        <f>H56/H149</f>
        <v>7.4079385763641339E-4</v>
      </c>
    </row>
    <row r="57" spans="1:12">
      <c r="A57" s="31" t="s">
        <v>134</v>
      </c>
      <c r="B57" s="41" t="s">
        <v>227</v>
      </c>
      <c r="C57" s="202" t="s">
        <v>228</v>
      </c>
      <c r="D57" s="195" t="s">
        <v>155</v>
      </c>
      <c r="E57" s="44">
        <v>6</v>
      </c>
      <c r="F57" s="44">
        <v>18.8</v>
      </c>
      <c r="G57" s="45">
        <f t="shared" si="17"/>
        <v>112.80000000000001</v>
      </c>
      <c r="H57" s="209">
        <f t="shared" si="18"/>
        <v>135.36000000000001</v>
      </c>
      <c r="I57" s="266">
        <f>H57/H149</f>
        <v>1.9981240349447021E-4</v>
      </c>
    </row>
    <row r="58" spans="1:12" ht="27">
      <c r="A58" s="31" t="s">
        <v>134</v>
      </c>
      <c r="B58" s="41" t="s">
        <v>229</v>
      </c>
      <c r="C58" s="202" t="s">
        <v>230</v>
      </c>
      <c r="D58" s="195" t="s">
        <v>155</v>
      </c>
      <c r="E58" s="44">
        <v>100</v>
      </c>
      <c r="F58" s="44">
        <v>3</v>
      </c>
      <c r="G58" s="45">
        <f t="shared" si="17"/>
        <v>300</v>
      </c>
      <c r="H58" s="209">
        <f t="shared" si="18"/>
        <v>360</v>
      </c>
      <c r="I58" s="266">
        <f>H58/H149</f>
        <v>5.3141596674061218E-4</v>
      </c>
    </row>
    <row r="59" spans="1:12">
      <c r="A59" s="32" t="s">
        <v>162</v>
      </c>
      <c r="B59" s="32" t="s">
        <v>231</v>
      </c>
      <c r="C59" s="33" t="s">
        <v>232</v>
      </c>
      <c r="D59" s="203" t="s">
        <v>104</v>
      </c>
      <c r="E59" s="204" t="s">
        <v>105</v>
      </c>
      <c r="F59" s="204" t="s">
        <v>106</v>
      </c>
      <c r="G59" s="204" t="s">
        <v>106</v>
      </c>
      <c r="H59" s="207">
        <f>SUM(H60:H67)</f>
        <v>4774.5720000000001</v>
      </c>
      <c r="I59" s="267">
        <f>H59/H149</f>
        <v>7.0480105420907173E-3</v>
      </c>
      <c r="K59" s="222"/>
    </row>
    <row r="60" spans="1:12" ht="27">
      <c r="A60" s="187" t="s">
        <v>233</v>
      </c>
      <c r="B60" s="187" t="s">
        <v>234</v>
      </c>
      <c r="C60" s="205" t="s">
        <v>235</v>
      </c>
      <c r="D60" s="187" t="s">
        <v>155</v>
      </c>
      <c r="E60" s="44">
        <v>30</v>
      </c>
      <c r="F60" s="44">
        <v>13.78</v>
      </c>
      <c r="G60" s="45">
        <f t="shared" ref="G60" si="19">F60*E60</f>
        <v>413.4</v>
      </c>
      <c r="H60" s="209">
        <f t="shared" ref="H60:H67" si="20">G60+(G60*0.2)</f>
        <v>496.08</v>
      </c>
      <c r="I60" s="266">
        <f>H60/H149</f>
        <v>7.3229120216856361E-4</v>
      </c>
    </row>
    <row r="61" spans="1:12" ht="27">
      <c r="A61" s="187" t="s">
        <v>236</v>
      </c>
      <c r="B61" s="187" t="s">
        <v>237</v>
      </c>
      <c r="C61" s="205" t="s">
        <v>238</v>
      </c>
      <c r="D61" s="187" t="s">
        <v>155</v>
      </c>
      <c r="E61" s="44">
        <v>30</v>
      </c>
      <c r="F61" s="44">
        <v>14.92</v>
      </c>
      <c r="G61" s="45">
        <f t="shared" ref="G61:G67" si="21">F61*E61</f>
        <v>447.6</v>
      </c>
      <c r="H61" s="209">
        <f t="shared" si="20"/>
        <v>537.12</v>
      </c>
      <c r="I61" s="266">
        <f>H61/H149</f>
        <v>7.9287262237699339E-4</v>
      </c>
    </row>
    <row r="62" spans="1:12" ht="27">
      <c r="A62" s="187" t="s">
        <v>239</v>
      </c>
      <c r="B62" s="187" t="s">
        <v>240</v>
      </c>
      <c r="C62" s="205" t="s">
        <v>241</v>
      </c>
      <c r="D62" s="187" t="s">
        <v>155</v>
      </c>
      <c r="E62" s="44">
        <v>15</v>
      </c>
      <c r="F62" s="44">
        <v>14.92</v>
      </c>
      <c r="G62" s="45">
        <f t="shared" si="21"/>
        <v>223.8</v>
      </c>
      <c r="H62" s="209">
        <f t="shared" si="20"/>
        <v>268.56</v>
      </c>
      <c r="I62" s="266">
        <f>H62/H149</f>
        <v>3.9643631118849669E-4</v>
      </c>
    </row>
    <row r="63" spans="1:12" ht="27">
      <c r="A63" s="187" t="s">
        <v>242</v>
      </c>
      <c r="B63" s="187" t="s">
        <v>243</v>
      </c>
      <c r="C63" s="205" t="s">
        <v>244</v>
      </c>
      <c r="D63" s="187" t="s">
        <v>155</v>
      </c>
      <c r="E63" s="44">
        <v>10</v>
      </c>
      <c r="F63" s="44">
        <v>6.3</v>
      </c>
      <c r="G63" s="45">
        <f t="shared" si="21"/>
        <v>63</v>
      </c>
      <c r="H63" s="209">
        <f t="shared" si="20"/>
        <v>75.599999999999994</v>
      </c>
      <c r="I63" s="266">
        <f>H63/H149</f>
        <v>1.1159735301552856E-4</v>
      </c>
    </row>
    <row r="64" spans="1:12" ht="27">
      <c r="A64" s="187" t="s">
        <v>245</v>
      </c>
      <c r="B64" s="187" t="s">
        <v>246</v>
      </c>
      <c r="C64" s="205" t="s">
        <v>247</v>
      </c>
      <c r="D64" s="187" t="s">
        <v>155</v>
      </c>
      <c r="E64" s="44">
        <v>4</v>
      </c>
      <c r="F64" s="44">
        <v>175</v>
      </c>
      <c r="G64" s="45">
        <f t="shared" si="21"/>
        <v>700</v>
      </c>
      <c r="H64" s="209">
        <f t="shared" si="20"/>
        <v>840</v>
      </c>
      <c r="I64" s="266">
        <f>H64/H149</f>
        <v>1.2399705890614285E-3</v>
      </c>
    </row>
    <row r="65" spans="1:11" ht="27">
      <c r="A65" s="187" t="s">
        <v>248</v>
      </c>
      <c r="B65" s="187" t="s">
        <v>249</v>
      </c>
      <c r="C65" s="205" t="s">
        <v>250</v>
      </c>
      <c r="D65" s="187" t="s">
        <v>155</v>
      </c>
      <c r="E65" s="44">
        <v>1</v>
      </c>
      <c r="F65" s="44">
        <v>486.71</v>
      </c>
      <c r="G65" s="45">
        <f t="shared" si="21"/>
        <v>486.71</v>
      </c>
      <c r="H65" s="209">
        <f t="shared" si="20"/>
        <v>584.05200000000002</v>
      </c>
      <c r="I65" s="266">
        <f>H65/H149</f>
        <v>8.6215155057441128E-4</v>
      </c>
    </row>
    <row r="66" spans="1:11" ht="27">
      <c r="A66" s="187" t="s">
        <v>251</v>
      </c>
      <c r="B66" s="187" t="s">
        <v>252</v>
      </c>
      <c r="C66" s="205" t="s">
        <v>253</v>
      </c>
      <c r="D66" s="187" t="s">
        <v>155</v>
      </c>
      <c r="E66" s="44">
        <v>5</v>
      </c>
      <c r="F66" s="44">
        <v>205.31</v>
      </c>
      <c r="G66" s="45">
        <f t="shared" ref="G66" si="22">F66*E66</f>
        <v>1026.55</v>
      </c>
      <c r="H66" s="209">
        <f t="shared" si="20"/>
        <v>1231.8599999999999</v>
      </c>
      <c r="I66" s="266">
        <f>H66/H149</f>
        <v>1.8184168688585847E-3</v>
      </c>
    </row>
    <row r="67" spans="1:11" ht="27">
      <c r="A67" s="187" t="s">
        <v>254</v>
      </c>
      <c r="B67" s="187" t="s">
        <v>255</v>
      </c>
      <c r="C67" s="205" t="s">
        <v>256</v>
      </c>
      <c r="D67" s="187" t="s">
        <v>155</v>
      </c>
      <c r="E67" s="44">
        <v>5</v>
      </c>
      <c r="F67" s="44">
        <v>123.55</v>
      </c>
      <c r="G67" s="45">
        <f t="shared" si="21"/>
        <v>617.75</v>
      </c>
      <c r="H67" s="209">
        <f t="shared" si="20"/>
        <v>741.3</v>
      </c>
      <c r="I67" s="266">
        <f>H67/H149</f>
        <v>1.0942740448467107E-3</v>
      </c>
    </row>
    <row r="68" spans="1:11">
      <c r="A68" s="32" t="s">
        <v>124</v>
      </c>
      <c r="B68" s="32" t="s">
        <v>257</v>
      </c>
      <c r="C68" s="33" t="s">
        <v>258</v>
      </c>
      <c r="D68" s="203" t="s">
        <v>104</v>
      </c>
      <c r="E68" s="204" t="s">
        <v>105</v>
      </c>
      <c r="F68" s="204" t="s">
        <v>106</v>
      </c>
      <c r="G68" s="204" t="s">
        <v>106</v>
      </c>
      <c r="H68" s="207">
        <f>SUM(H69:H84)</f>
        <v>60971.999999999985</v>
      </c>
      <c r="I68" s="267">
        <f>H68/H149</f>
        <v>9.0004150900301672E-2</v>
      </c>
      <c r="K68" s="222"/>
    </row>
    <row r="69" spans="1:11" ht="40.5">
      <c r="A69" s="187" t="s">
        <v>259</v>
      </c>
      <c r="B69" s="187" t="s">
        <v>260</v>
      </c>
      <c r="C69" s="205" t="s">
        <v>261</v>
      </c>
      <c r="D69" s="195" t="s">
        <v>168</v>
      </c>
      <c r="E69" s="44">
        <v>400</v>
      </c>
      <c r="F69" s="44">
        <v>4.3499999999999996</v>
      </c>
      <c r="G69" s="45">
        <f t="shared" ref="G69:G84" si="23">F69*E69</f>
        <v>1739.9999999999998</v>
      </c>
      <c r="H69" s="209">
        <f t="shared" ref="H69:H84" si="24">G69+(G69*0.2)</f>
        <v>2088</v>
      </c>
      <c r="I69" s="266">
        <f>H69/H149</f>
        <v>3.0822126070955509E-3</v>
      </c>
    </row>
    <row r="70" spans="1:11" ht="27">
      <c r="A70" s="187" t="s">
        <v>259</v>
      </c>
      <c r="B70" s="187" t="s">
        <v>262</v>
      </c>
      <c r="C70" s="205" t="s">
        <v>263</v>
      </c>
      <c r="D70" s="195" t="s">
        <v>168</v>
      </c>
      <c r="E70" s="44">
        <v>400</v>
      </c>
      <c r="F70" s="44">
        <v>4.3499999999999996</v>
      </c>
      <c r="G70" s="45">
        <f t="shared" si="23"/>
        <v>1739.9999999999998</v>
      </c>
      <c r="H70" s="209">
        <f t="shared" si="24"/>
        <v>2088</v>
      </c>
      <c r="I70" s="266">
        <f>H70/H149</f>
        <v>3.0822126070955509E-3</v>
      </c>
    </row>
    <row r="71" spans="1:11" ht="27">
      <c r="A71" s="187" t="s">
        <v>259</v>
      </c>
      <c r="B71" s="187" t="s">
        <v>264</v>
      </c>
      <c r="C71" s="205" t="s">
        <v>265</v>
      </c>
      <c r="D71" s="195" t="s">
        <v>168</v>
      </c>
      <c r="E71" s="44">
        <v>400</v>
      </c>
      <c r="F71" s="44">
        <v>4.3499999999999996</v>
      </c>
      <c r="G71" s="45">
        <f t="shared" si="23"/>
        <v>1739.9999999999998</v>
      </c>
      <c r="H71" s="209">
        <f t="shared" si="24"/>
        <v>2088</v>
      </c>
      <c r="I71" s="266">
        <f>H71/H149</f>
        <v>3.0822126070955509E-3</v>
      </c>
    </row>
    <row r="72" spans="1:11" ht="40.5">
      <c r="A72" s="187" t="s">
        <v>259</v>
      </c>
      <c r="B72" s="187" t="s">
        <v>266</v>
      </c>
      <c r="C72" s="205" t="s">
        <v>267</v>
      </c>
      <c r="D72" s="195" t="s">
        <v>168</v>
      </c>
      <c r="E72" s="44">
        <v>400</v>
      </c>
      <c r="F72" s="44">
        <v>4.3499999999999996</v>
      </c>
      <c r="G72" s="45">
        <f t="shared" si="23"/>
        <v>1739.9999999999998</v>
      </c>
      <c r="H72" s="209">
        <f t="shared" si="24"/>
        <v>2088</v>
      </c>
      <c r="I72" s="266">
        <f>H72/H149</f>
        <v>3.0822126070955509E-3</v>
      </c>
    </row>
    <row r="73" spans="1:11" ht="40.5">
      <c r="A73" s="187" t="s">
        <v>268</v>
      </c>
      <c r="B73" s="187" t="s">
        <v>269</v>
      </c>
      <c r="C73" s="205" t="s">
        <v>270</v>
      </c>
      <c r="D73" s="195" t="s">
        <v>168</v>
      </c>
      <c r="E73" s="44">
        <v>200</v>
      </c>
      <c r="F73" s="44">
        <v>7.12</v>
      </c>
      <c r="G73" s="45">
        <f t="shared" si="23"/>
        <v>1424</v>
      </c>
      <c r="H73" s="209">
        <f t="shared" si="24"/>
        <v>1708.8</v>
      </c>
      <c r="I73" s="266">
        <f>H73/H149</f>
        <v>2.5224544554621059E-3</v>
      </c>
    </row>
    <row r="74" spans="1:11" ht="27">
      <c r="A74" s="187" t="s">
        <v>268</v>
      </c>
      <c r="B74" s="187" t="s">
        <v>271</v>
      </c>
      <c r="C74" s="205" t="s">
        <v>272</v>
      </c>
      <c r="D74" s="195" t="s">
        <v>168</v>
      </c>
      <c r="E74" s="44">
        <v>200</v>
      </c>
      <c r="F74" s="44">
        <v>50</v>
      </c>
      <c r="G74" s="45">
        <f t="shared" si="23"/>
        <v>10000</v>
      </c>
      <c r="H74" s="209">
        <f t="shared" si="24"/>
        <v>12000</v>
      </c>
      <c r="I74" s="266">
        <f>H74/H149</f>
        <v>1.7713865558020406E-2</v>
      </c>
    </row>
    <row r="75" spans="1:11" ht="27">
      <c r="A75" s="187" t="s">
        <v>268</v>
      </c>
      <c r="B75" s="187" t="s">
        <v>273</v>
      </c>
      <c r="C75" s="205" t="s">
        <v>274</v>
      </c>
      <c r="D75" s="195" t="s">
        <v>168</v>
      </c>
      <c r="E75" s="44">
        <v>200</v>
      </c>
      <c r="F75" s="44">
        <v>25</v>
      </c>
      <c r="G75" s="45">
        <f t="shared" si="23"/>
        <v>5000</v>
      </c>
      <c r="H75" s="209">
        <f t="shared" si="24"/>
        <v>6000</v>
      </c>
      <c r="I75" s="266">
        <f>H75/H149</f>
        <v>8.8569327790102032E-3</v>
      </c>
    </row>
    <row r="76" spans="1:11" ht="27">
      <c r="A76" s="187" t="s">
        <v>275</v>
      </c>
      <c r="B76" s="187" t="s">
        <v>276</v>
      </c>
      <c r="C76" s="205" t="s">
        <v>277</v>
      </c>
      <c r="D76" s="195" t="s">
        <v>168</v>
      </c>
      <c r="E76" s="44">
        <v>200</v>
      </c>
      <c r="F76" s="44">
        <v>10.98</v>
      </c>
      <c r="G76" s="45">
        <f t="shared" si="23"/>
        <v>2196</v>
      </c>
      <c r="H76" s="209">
        <f t="shared" si="24"/>
        <v>2635.2</v>
      </c>
      <c r="I76" s="266">
        <f>H76/H149</f>
        <v>3.8899648765412811E-3</v>
      </c>
    </row>
    <row r="77" spans="1:11" ht="27">
      <c r="A77" s="187" t="s">
        <v>275</v>
      </c>
      <c r="B77" s="187" t="s">
        <v>278</v>
      </c>
      <c r="C77" s="205" t="s">
        <v>279</v>
      </c>
      <c r="D77" s="195" t="s">
        <v>168</v>
      </c>
      <c r="E77" s="44">
        <v>200</v>
      </c>
      <c r="F77" s="44">
        <v>10.98</v>
      </c>
      <c r="G77" s="45">
        <f t="shared" si="23"/>
        <v>2196</v>
      </c>
      <c r="H77" s="209">
        <f t="shared" si="24"/>
        <v>2635.2</v>
      </c>
      <c r="I77" s="266">
        <f>H77/H149</f>
        <v>3.8899648765412811E-3</v>
      </c>
    </row>
    <row r="78" spans="1:11" ht="27">
      <c r="A78" s="187" t="s">
        <v>275</v>
      </c>
      <c r="B78" s="187" t="s">
        <v>280</v>
      </c>
      <c r="C78" s="205" t="s">
        <v>281</v>
      </c>
      <c r="D78" s="195" t="s">
        <v>168</v>
      </c>
      <c r="E78" s="44">
        <v>200</v>
      </c>
      <c r="F78" s="44">
        <v>10.98</v>
      </c>
      <c r="G78" s="45">
        <f t="shared" si="23"/>
        <v>2196</v>
      </c>
      <c r="H78" s="209">
        <f t="shared" si="24"/>
        <v>2635.2</v>
      </c>
      <c r="I78" s="266">
        <f>H78/H149</f>
        <v>3.8899648765412811E-3</v>
      </c>
    </row>
    <row r="79" spans="1:11" ht="27">
      <c r="A79" s="187" t="s">
        <v>282</v>
      </c>
      <c r="B79" s="187" t="s">
        <v>283</v>
      </c>
      <c r="C79" s="205" t="s">
        <v>284</v>
      </c>
      <c r="D79" s="195" t="s">
        <v>168</v>
      </c>
      <c r="E79" s="44">
        <v>100</v>
      </c>
      <c r="F79" s="44">
        <v>18.7</v>
      </c>
      <c r="G79" s="45">
        <f t="shared" si="23"/>
        <v>1870</v>
      </c>
      <c r="H79" s="209">
        <f t="shared" si="24"/>
        <v>2244</v>
      </c>
      <c r="I79" s="266">
        <f>H79/H149</f>
        <v>3.3124928593498159E-3</v>
      </c>
    </row>
    <row r="80" spans="1:11" ht="27">
      <c r="A80" s="187" t="s">
        <v>282</v>
      </c>
      <c r="B80" s="187" t="s">
        <v>285</v>
      </c>
      <c r="C80" s="205" t="s">
        <v>286</v>
      </c>
      <c r="D80" s="195" t="s">
        <v>168</v>
      </c>
      <c r="E80" s="44">
        <v>100</v>
      </c>
      <c r="F80" s="44">
        <v>18.7</v>
      </c>
      <c r="G80" s="45">
        <f t="shared" si="23"/>
        <v>1870</v>
      </c>
      <c r="H80" s="209">
        <f t="shared" si="24"/>
        <v>2244</v>
      </c>
      <c r="I80" s="266">
        <f>H80/H149</f>
        <v>3.3124928593498159E-3</v>
      </c>
    </row>
    <row r="81" spans="1:12" ht="27">
      <c r="A81" s="187" t="s">
        <v>282</v>
      </c>
      <c r="B81" s="187" t="s">
        <v>287</v>
      </c>
      <c r="C81" s="205" t="s">
        <v>288</v>
      </c>
      <c r="D81" s="195" t="s">
        <v>168</v>
      </c>
      <c r="E81" s="44">
        <v>100</v>
      </c>
      <c r="F81" s="44">
        <v>18.7</v>
      </c>
      <c r="G81" s="45">
        <f t="shared" si="23"/>
        <v>1870</v>
      </c>
      <c r="H81" s="209">
        <f t="shared" si="24"/>
        <v>2244</v>
      </c>
      <c r="I81" s="266">
        <f>H81/H149</f>
        <v>3.3124928593498159E-3</v>
      </c>
    </row>
    <row r="82" spans="1:12" ht="27">
      <c r="A82" s="187" t="s">
        <v>289</v>
      </c>
      <c r="B82" s="187" t="s">
        <v>290</v>
      </c>
      <c r="C82" s="205" t="s">
        <v>291</v>
      </c>
      <c r="D82" s="195" t="s">
        <v>168</v>
      </c>
      <c r="E82" s="44">
        <v>100</v>
      </c>
      <c r="F82" s="44">
        <v>40.76</v>
      </c>
      <c r="G82" s="45">
        <f t="shared" si="23"/>
        <v>4076</v>
      </c>
      <c r="H82" s="209">
        <f t="shared" si="24"/>
        <v>4891.2</v>
      </c>
      <c r="I82" s="266">
        <f>H82/H149</f>
        <v>7.220171601449118E-3</v>
      </c>
    </row>
    <row r="83" spans="1:12" ht="27">
      <c r="A83" s="187" t="s">
        <v>289</v>
      </c>
      <c r="B83" s="187" t="s">
        <v>292</v>
      </c>
      <c r="C83" s="205" t="s">
        <v>293</v>
      </c>
      <c r="D83" s="195" t="s">
        <v>168</v>
      </c>
      <c r="E83" s="44">
        <v>100</v>
      </c>
      <c r="F83" s="44">
        <v>40.76</v>
      </c>
      <c r="G83" s="45">
        <f t="shared" si="23"/>
        <v>4076</v>
      </c>
      <c r="H83" s="209">
        <f t="shared" si="24"/>
        <v>4891.2</v>
      </c>
      <c r="I83" s="266">
        <f>H83/H149</f>
        <v>7.220171601449118E-3</v>
      </c>
    </row>
    <row r="84" spans="1:12" ht="27">
      <c r="A84" s="187" t="s">
        <v>289</v>
      </c>
      <c r="B84" s="187" t="s">
        <v>294</v>
      </c>
      <c r="C84" s="205" t="s">
        <v>295</v>
      </c>
      <c r="D84" s="195" t="s">
        <v>168</v>
      </c>
      <c r="E84" s="44">
        <v>100</v>
      </c>
      <c r="F84" s="44">
        <v>70.760000000000005</v>
      </c>
      <c r="G84" s="45">
        <f t="shared" si="23"/>
        <v>7076.0000000000009</v>
      </c>
      <c r="H84" s="209">
        <f t="shared" si="24"/>
        <v>8491.2000000000007</v>
      </c>
      <c r="I84" s="266">
        <f>H84/H149</f>
        <v>1.2534331268855241E-2</v>
      </c>
    </row>
    <row r="85" spans="1:12">
      <c r="A85" s="32"/>
      <c r="B85" s="32" t="s">
        <v>296</v>
      </c>
      <c r="C85" s="33" t="s">
        <v>297</v>
      </c>
      <c r="D85" s="34"/>
      <c r="E85" s="35"/>
      <c r="F85" s="35"/>
      <c r="G85" s="35"/>
      <c r="H85" s="212">
        <f>SUM(H86:H90)</f>
        <v>21102</v>
      </c>
      <c r="I85" s="267">
        <f>H85/H149</f>
        <v>3.1149832583778885E-2</v>
      </c>
      <c r="K85" s="222"/>
    </row>
    <row r="86" spans="1:12" ht="67.5">
      <c r="A86" s="31" t="s">
        <v>134</v>
      </c>
      <c r="B86" s="41" t="s">
        <v>298</v>
      </c>
      <c r="C86" s="183" t="s">
        <v>299</v>
      </c>
      <c r="D86" s="188" t="s">
        <v>155</v>
      </c>
      <c r="E86" s="189">
        <v>35</v>
      </c>
      <c r="F86" s="190">
        <v>75</v>
      </c>
      <c r="G86" s="191">
        <f t="shared" ref="G86:G87" si="25">F86*E86</f>
        <v>2625</v>
      </c>
      <c r="H86" s="215">
        <f>G86+(G86*0.2)</f>
        <v>3150</v>
      </c>
      <c r="I86" s="266">
        <f>H86/H149</f>
        <v>4.649889708980357E-3</v>
      </c>
    </row>
    <row r="87" spans="1:12" ht="108">
      <c r="A87" s="31" t="s">
        <v>134</v>
      </c>
      <c r="B87" s="41" t="s">
        <v>300</v>
      </c>
      <c r="C87" s="183" t="s">
        <v>301</v>
      </c>
      <c r="D87" s="188" t="s">
        <v>155</v>
      </c>
      <c r="E87" s="189">
        <v>22</v>
      </c>
      <c r="F87" s="190">
        <v>170</v>
      </c>
      <c r="G87" s="191">
        <f t="shared" si="25"/>
        <v>3740</v>
      </c>
      <c r="H87" s="215">
        <f t="shared" ref="H87:H90" si="26">G87+(G87*0.2)</f>
        <v>4488</v>
      </c>
      <c r="I87" s="266">
        <f>H87/H149</f>
        <v>6.6249857186996318E-3</v>
      </c>
    </row>
    <row r="88" spans="1:12" ht="81">
      <c r="A88" s="31" t="s">
        <v>134</v>
      </c>
      <c r="B88" s="41" t="s">
        <v>302</v>
      </c>
      <c r="C88" s="183" t="s">
        <v>303</v>
      </c>
      <c r="D88" s="184" t="s">
        <v>155</v>
      </c>
      <c r="E88" s="185">
        <v>2</v>
      </c>
      <c r="F88" s="186">
        <v>131</v>
      </c>
      <c r="G88" s="187">
        <f t="shared" ref="G88:G90" si="27">F88*E88</f>
        <v>262</v>
      </c>
      <c r="H88" s="215">
        <f t="shared" si="26"/>
        <v>314.39999999999998</v>
      </c>
      <c r="I88" s="266">
        <f>H88/H149</f>
        <v>4.6410327762013462E-4</v>
      </c>
    </row>
    <row r="89" spans="1:12" ht="81">
      <c r="A89" s="31" t="s">
        <v>134</v>
      </c>
      <c r="B89" s="41" t="s">
        <v>304</v>
      </c>
      <c r="C89" s="183" t="s">
        <v>305</v>
      </c>
      <c r="D89" s="184" t="s">
        <v>168</v>
      </c>
      <c r="E89" s="185">
        <v>72</v>
      </c>
      <c r="F89" s="186">
        <v>150</v>
      </c>
      <c r="G89" s="187">
        <f t="shared" si="27"/>
        <v>10800</v>
      </c>
      <c r="H89" s="215">
        <f t="shared" si="26"/>
        <v>12960</v>
      </c>
      <c r="I89" s="266">
        <f>H89/H149</f>
        <v>1.913097480266204E-2</v>
      </c>
    </row>
    <row r="90" spans="1:12" ht="27">
      <c r="A90" s="31" t="s">
        <v>134</v>
      </c>
      <c r="B90" s="41" t="s">
        <v>306</v>
      </c>
      <c r="C90" s="183" t="s">
        <v>307</v>
      </c>
      <c r="D90" s="184" t="s">
        <v>155</v>
      </c>
      <c r="E90" s="185">
        <v>2</v>
      </c>
      <c r="F90" s="186">
        <v>79</v>
      </c>
      <c r="G90" s="187">
        <f t="shared" si="27"/>
        <v>158</v>
      </c>
      <c r="H90" s="215">
        <f t="shared" si="26"/>
        <v>189.6</v>
      </c>
      <c r="I90" s="266">
        <f>H90/H149</f>
        <v>2.7987907581672244E-4</v>
      </c>
    </row>
    <row r="91" spans="1:12" ht="45.6" customHeight="1">
      <c r="A91" s="224" t="s">
        <v>159</v>
      </c>
      <c r="B91" s="225" t="s">
        <v>85</v>
      </c>
      <c r="C91" s="317" t="s">
        <v>308</v>
      </c>
      <c r="D91" s="318"/>
      <c r="E91" s="318"/>
      <c r="F91" s="318"/>
      <c r="G91" s="319"/>
      <c r="H91" s="226">
        <f>SUM(H92,H106)</f>
        <v>233763.13</v>
      </c>
      <c r="I91" s="268">
        <f>H91/H149</f>
        <v>0.34507072143683726</v>
      </c>
      <c r="K91" s="222"/>
    </row>
    <row r="92" spans="1:12" ht="27.6" customHeight="1">
      <c r="A92" s="32"/>
      <c r="B92" s="32" t="s">
        <v>309</v>
      </c>
      <c r="C92" s="337" t="s">
        <v>310</v>
      </c>
      <c r="D92" s="338"/>
      <c r="E92" s="338"/>
      <c r="F92" s="338"/>
      <c r="G92" s="339"/>
      <c r="H92" s="212">
        <f>SUM(H93,H95)</f>
        <v>233763.13</v>
      </c>
      <c r="I92" s="274">
        <f>H92/H149</f>
        <v>0.34507072143683726</v>
      </c>
      <c r="K92" s="222"/>
      <c r="L92" s="222"/>
    </row>
    <row r="93" spans="1:12">
      <c r="A93" s="27"/>
      <c r="B93" s="27" t="s">
        <v>311</v>
      </c>
      <c r="C93" s="28" t="s">
        <v>312</v>
      </c>
      <c r="D93" s="29"/>
      <c r="E93" s="30"/>
      <c r="F93" s="30"/>
      <c r="G93" s="30"/>
      <c r="H93" s="206">
        <f>H94</f>
        <v>72360</v>
      </c>
      <c r="I93" s="275">
        <f>H93/H149</f>
        <v>0.10681460931486306</v>
      </c>
    </row>
    <row r="94" spans="1:12" ht="185.25">
      <c r="A94" s="31" t="s">
        <v>134</v>
      </c>
      <c r="B94" s="135"/>
      <c r="C94" s="139" t="s">
        <v>313</v>
      </c>
      <c r="D94" s="135" t="s">
        <v>155</v>
      </c>
      <c r="E94" s="44">
        <v>20</v>
      </c>
      <c r="F94" s="45">
        <v>3015</v>
      </c>
      <c r="G94" s="45">
        <f>F94*E94</f>
        <v>60300</v>
      </c>
      <c r="H94" s="209">
        <f>G94+(G94*0.2)</f>
        <v>72360</v>
      </c>
      <c r="I94" s="266">
        <f>H94/H149</f>
        <v>0.10681460931486306</v>
      </c>
      <c r="K94" s="289"/>
    </row>
    <row r="95" spans="1:12" ht="27.6" customHeight="1">
      <c r="A95" s="27" t="s">
        <v>314</v>
      </c>
      <c r="B95" s="27" t="s">
        <v>315</v>
      </c>
      <c r="C95" s="340" t="s">
        <v>316</v>
      </c>
      <c r="D95" s="341"/>
      <c r="E95" s="341"/>
      <c r="F95" s="341"/>
      <c r="G95" s="342"/>
      <c r="H95" s="206">
        <v>161403.13</v>
      </c>
      <c r="I95" s="275">
        <f>H95/H149</f>
        <v>0.2382561121219742</v>
      </c>
      <c r="K95" s="222"/>
    </row>
    <row r="96" spans="1:12" ht="28.5">
      <c r="A96" s="285" t="s">
        <v>134</v>
      </c>
      <c r="B96" s="137" t="s">
        <v>317</v>
      </c>
      <c r="C96" s="287" t="s">
        <v>318</v>
      </c>
      <c r="D96" s="137" t="s">
        <v>155</v>
      </c>
      <c r="E96" s="136">
        <v>3</v>
      </c>
      <c r="F96" s="138"/>
      <c r="G96" s="138">
        <f t="shared" ref="G96:G102" si="28">F96*E96</f>
        <v>0</v>
      </c>
      <c r="H96" s="216">
        <f>G96+(G96*0.2)</f>
        <v>0</v>
      </c>
      <c r="I96" s="288">
        <f>H96/H149</f>
        <v>0</v>
      </c>
    </row>
    <row r="97" spans="1:12" ht="28.5">
      <c r="A97" s="285" t="s">
        <v>134</v>
      </c>
      <c r="B97" s="137" t="s">
        <v>319</v>
      </c>
      <c r="C97" s="287" t="s">
        <v>320</v>
      </c>
      <c r="D97" s="137" t="s">
        <v>155</v>
      </c>
      <c r="E97" s="136">
        <v>6</v>
      </c>
      <c r="F97" s="138"/>
      <c r="G97" s="138">
        <f t="shared" si="28"/>
        <v>0</v>
      </c>
      <c r="H97" s="216">
        <f t="shared" ref="H97:H102" si="29">G97+(G97*0.2)</f>
        <v>0</v>
      </c>
      <c r="I97" s="288">
        <f>H97/H149</f>
        <v>0</v>
      </c>
      <c r="K97" s="222"/>
      <c r="L97" s="222"/>
    </row>
    <row r="98" spans="1:12" ht="28.5">
      <c r="A98" s="285" t="s">
        <v>134</v>
      </c>
      <c r="B98" s="137" t="s">
        <v>321</v>
      </c>
      <c r="C98" s="287" t="s">
        <v>322</v>
      </c>
      <c r="D98" s="137" t="s">
        <v>155</v>
      </c>
      <c r="E98" s="136">
        <v>6</v>
      </c>
      <c r="F98" s="138"/>
      <c r="G98" s="138">
        <f t="shared" si="28"/>
        <v>0</v>
      </c>
      <c r="H98" s="216">
        <f t="shared" si="29"/>
        <v>0</v>
      </c>
      <c r="I98" s="288">
        <f>H98/H149</f>
        <v>0</v>
      </c>
    </row>
    <row r="99" spans="1:12" ht="28.5">
      <c r="A99" s="285" t="s">
        <v>134</v>
      </c>
      <c r="B99" s="137" t="s">
        <v>323</v>
      </c>
      <c r="C99" s="287" t="s">
        <v>324</v>
      </c>
      <c r="D99" s="137" t="s">
        <v>155</v>
      </c>
      <c r="E99" s="136">
        <v>3</v>
      </c>
      <c r="F99" s="138"/>
      <c r="G99" s="138">
        <f t="shared" si="28"/>
        <v>0</v>
      </c>
      <c r="H99" s="216">
        <f t="shared" si="29"/>
        <v>0</v>
      </c>
      <c r="I99" s="288">
        <f>H99/H149</f>
        <v>0</v>
      </c>
    </row>
    <row r="100" spans="1:12" ht="28.5">
      <c r="A100" s="285" t="s">
        <v>134</v>
      </c>
      <c r="B100" s="137" t="s">
        <v>325</v>
      </c>
      <c r="C100" s="287" t="s">
        <v>326</v>
      </c>
      <c r="D100" s="137" t="s">
        <v>155</v>
      </c>
      <c r="E100" s="136">
        <v>3</v>
      </c>
      <c r="F100" s="138"/>
      <c r="G100" s="138">
        <f t="shared" si="28"/>
        <v>0</v>
      </c>
      <c r="H100" s="216">
        <f t="shared" si="29"/>
        <v>0</v>
      </c>
      <c r="I100" s="288">
        <f>H100/H149</f>
        <v>0</v>
      </c>
      <c r="K100" s="60"/>
    </row>
    <row r="101" spans="1:12" ht="28.5">
      <c r="A101" s="285" t="s">
        <v>134</v>
      </c>
      <c r="B101" s="137" t="s">
        <v>327</v>
      </c>
      <c r="C101" s="287" t="s">
        <v>328</v>
      </c>
      <c r="D101" s="137" t="s">
        <v>155</v>
      </c>
      <c r="E101" s="136">
        <v>2</v>
      </c>
      <c r="F101" s="138"/>
      <c r="G101" s="138">
        <f t="shared" si="28"/>
        <v>0</v>
      </c>
      <c r="H101" s="216">
        <f t="shared" si="29"/>
        <v>0</v>
      </c>
      <c r="I101" s="288">
        <f>H101/H149</f>
        <v>0</v>
      </c>
      <c r="K101" s="60"/>
    </row>
    <row r="102" spans="1:12">
      <c r="A102" s="285" t="s">
        <v>134</v>
      </c>
      <c r="B102" s="137" t="s">
        <v>329</v>
      </c>
      <c r="C102" s="287" t="s">
        <v>330</v>
      </c>
      <c r="D102" s="137" t="s">
        <v>155</v>
      </c>
      <c r="E102" s="136">
        <v>10</v>
      </c>
      <c r="F102" s="138"/>
      <c r="G102" s="138">
        <f t="shared" si="28"/>
        <v>0</v>
      </c>
      <c r="H102" s="216">
        <f t="shared" si="29"/>
        <v>0</v>
      </c>
      <c r="I102" s="288">
        <f>H102/H149</f>
        <v>0</v>
      </c>
    </row>
    <row r="103" spans="1:12">
      <c r="A103" s="285" t="s">
        <v>134</v>
      </c>
      <c r="B103" s="137" t="s">
        <v>331</v>
      </c>
      <c r="C103" s="287" t="s">
        <v>332</v>
      </c>
      <c r="D103" s="137" t="s">
        <v>155</v>
      </c>
      <c r="E103" s="136">
        <v>10</v>
      </c>
      <c r="F103" s="138"/>
      <c r="G103" s="138">
        <f t="shared" ref="G103" si="30">F103*E103</f>
        <v>0</v>
      </c>
      <c r="H103" s="216">
        <f t="shared" ref="H103" si="31">G103+(G103*0.2)</f>
        <v>0</v>
      </c>
      <c r="I103" s="288">
        <f>H103/H149</f>
        <v>0</v>
      </c>
    </row>
    <row r="104" spans="1:12">
      <c r="A104" s="285" t="s">
        <v>134</v>
      </c>
      <c r="B104" s="137" t="s">
        <v>333</v>
      </c>
      <c r="C104" s="287" t="s">
        <v>334</v>
      </c>
      <c r="D104" s="137" t="s">
        <v>155</v>
      </c>
      <c r="E104" s="136">
        <v>8</v>
      </c>
      <c r="F104" s="138"/>
      <c r="G104" s="138">
        <f t="shared" ref="G104:G106" si="32">F104*E104</f>
        <v>0</v>
      </c>
      <c r="H104" s="216">
        <f t="shared" ref="H104:H106" si="33">G104+(G104*0.2)</f>
        <v>0</v>
      </c>
      <c r="I104" s="288">
        <f>H104/H149</f>
        <v>0</v>
      </c>
    </row>
    <row r="105" spans="1:12">
      <c r="A105" s="285" t="s">
        <v>134</v>
      </c>
      <c r="B105" s="137" t="s">
        <v>335</v>
      </c>
      <c r="C105" s="287" t="s">
        <v>336</v>
      </c>
      <c r="D105" s="137" t="s">
        <v>155</v>
      </c>
      <c r="E105" s="136">
        <v>8</v>
      </c>
      <c r="F105" s="138"/>
      <c r="G105" s="138">
        <f t="shared" si="32"/>
        <v>0</v>
      </c>
      <c r="H105" s="216">
        <f t="shared" si="33"/>
        <v>0</v>
      </c>
      <c r="I105" s="288">
        <f>H105/H149</f>
        <v>0</v>
      </c>
    </row>
    <row r="106" spans="1:12">
      <c r="A106" s="285" t="s">
        <v>134</v>
      </c>
      <c r="B106" s="137" t="s">
        <v>337</v>
      </c>
      <c r="C106" s="139" t="s">
        <v>338</v>
      </c>
      <c r="D106" s="137" t="s">
        <v>155</v>
      </c>
      <c r="E106" s="136">
        <v>1</v>
      </c>
      <c r="F106" s="138"/>
      <c r="G106" s="138">
        <f t="shared" si="32"/>
        <v>0</v>
      </c>
      <c r="H106" s="216">
        <f t="shared" si="33"/>
        <v>0</v>
      </c>
      <c r="I106" s="288">
        <f>H106/H149</f>
        <v>0</v>
      </c>
    </row>
    <row r="107" spans="1:12">
      <c r="A107" s="285" t="s">
        <v>134</v>
      </c>
      <c r="B107" s="137" t="s">
        <v>339</v>
      </c>
      <c r="C107" s="139" t="s">
        <v>340</v>
      </c>
      <c r="D107" s="137" t="s">
        <v>155</v>
      </c>
      <c r="E107" s="136">
        <v>1</v>
      </c>
      <c r="F107" s="138"/>
      <c r="G107" s="138">
        <f t="shared" ref="G107:G109" si="34">F107*E107</f>
        <v>0</v>
      </c>
      <c r="H107" s="216">
        <f t="shared" ref="H107:H109" si="35">G107+(G107*0.2)</f>
        <v>0</v>
      </c>
      <c r="I107" s="288">
        <f>H107/H149</f>
        <v>0</v>
      </c>
    </row>
    <row r="108" spans="1:12" ht="28.5">
      <c r="A108" s="285" t="s">
        <v>134</v>
      </c>
      <c r="B108" s="137" t="s">
        <v>341</v>
      </c>
      <c r="C108" s="139" t="s">
        <v>342</v>
      </c>
      <c r="D108" s="137" t="s">
        <v>155</v>
      </c>
      <c r="E108" s="136">
        <v>1</v>
      </c>
      <c r="F108" s="138"/>
      <c r="G108" s="138">
        <f t="shared" si="34"/>
        <v>0</v>
      </c>
      <c r="H108" s="216">
        <f t="shared" si="35"/>
        <v>0</v>
      </c>
      <c r="I108" s="288">
        <f>H108/H149</f>
        <v>0</v>
      </c>
    </row>
    <row r="109" spans="1:12">
      <c r="A109" s="285" t="s">
        <v>134</v>
      </c>
      <c r="B109" s="137" t="s">
        <v>343</v>
      </c>
      <c r="C109" s="139" t="s">
        <v>344</v>
      </c>
      <c r="D109" s="137" t="s">
        <v>155</v>
      </c>
      <c r="E109" s="136">
        <v>1</v>
      </c>
      <c r="F109" s="138"/>
      <c r="G109" s="138">
        <f t="shared" si="34"/>
        <v>0</v>
      </c>
      <c r="H109" s="216">
        <f t="shared" si="35"/>
        <v>0</v>
      </c>
      <c r="I109" s="288">
        <f>H109/H149</f>
        <v>0</v>
      </c>
    </row>
    <row r="110" spans="1:12" ht="31.5">
      <c r="A110" s="224" t="s">
        <v>159</v>
      </c>
      <c r="B110" s="225" t="s">
        <v>345</v>
      </c>
      <c r="C110" s="317" t="s">
        <v>346</v>
      </c>
      <c r="D110" s="318"/>
      <c r="E110" s="318"/>
      <c r="F110" s="318"/>
      <c r="G110" s="319"/>
      <c r="H110" s="226">
        <f>SUM(H111,H123,H125,H127,H131,H134,H136,H138,H146)</f>
        <v>181822.266</v>
      </c>
      <c r="I110" s="268">
        <f>H110/H149</f>
        <v>0.26839793128155209</v>
      </c>
      <c r="L110" s="222"/>
    </row>
    <row r="111" spans="1:12">
      <c r="A111" s="32" t="s">
        <v>124</v>
      </c>
      <c r="B111" s="32" t="s">
        <v>347</v>
      </c>
      <c r="C111" s="33" t="s">
        <v>348</v>
      </c>
      <c r="D111" s="203" t="s">
        <v>104</v>
      </c>
      <c r="E111" s="204" t="s">
        <v>105</v>
      </c>
      <c r="F111" s="204" t="s">
        <v>106</v>
      </c>
      <c r="G111" s="204" t="s">
        <v>106</v>
      </c>
      <c r="H111" s="207">
        <f>SUM(H112,H119)</f>
        <v>67044.206000000006</v>
      </c>
      <c r="I111" s="267">
        <f>H111/H149</f>
        <v>9.8967670960685428E-2</v>
      </c>
      <c r="K111" s="222"/>
    </row>
    <row r="112" spans="1:12">
      <c r="A112" s="27"/>
      <c r="B112" s="27" t="s">
        <v>349</v>
      </c>
      <c r="C112" s="197" t="s">
        <v>350</v>
      </c>
      <c r="D112" s="198"/>
      <c r="E112" s="199"/>
      <c r="F112" s="199"/>
      <c r="G112" s="199"/>
      <c r="H112" s="208">
        <f>SUM(H113:H118)</f>
        <v>62481.318000000007</v>
      </c>
      <c r="I112" s="276"/>
      <c r="K112" s="222"/>
    </row>
    <row r="113" spans="1:15" ht="27">
      <c r="A113" s="134" t="s">
        <v>351</v>
      </c>
      <c r="B113" s="135" t="s">
        <v>352</v>
      </c>
      <c r="C113" s="200" t="s">
        <v>353</v>
      </c>
      <c r="D113" s="41" t="s">
        <v>354</v>
      </c>
      <c r="E113" s="44">
        <v>120</v>
      </c>
      <c r="F113" s="44">
        <v>311.17</v>
      </c>
      <c r="G113" s="45">
        <f t="shared" ref="G113:G118" si="36">F113*E113</f>
        <v>37340.400000000001</v>
      </c>
      <c r="H113" s="209">
        <f t="shared" ref="H113:H118" si="37">G113+(G113*0.2)</f>
        <v>44808.480000000003</v>
      </c>
      <c r="I113" s="273"/>
      <c r="L113" s="222"/>
      <c r="O113" s="222"/>
    </row>
    <row r="114" spans="1:15" ht="40.5">
      <c r="A114" s="134" t="s">
        <v>355</v>
      </c>
      <c r="B114" s="135"/>
      <c r="C114" s="200" t="s">
        <v>356</v>
      </c>
      <c r="D114" s="193" t="s">
        <v>155</v>
      </c>
      <c r="E114" s="44">
        <v>4</v>
      </c>
      <c r="F114" s="44">
        <v>736.77</v>
      </c>
      <c r="G114" s="45">
        <f t="shared" si="36"/>
        <v>2947.08</v>
      </c>
      <c r="H114" s="209">
        <f t="shared" si="37"/>
        <v>3536.4960000000001</v>
      </c>
      <c r="I114" s="273"/>
    </row>
    <row r="115" spans="1:15" ht="48.6" customHeight="1">
      <c r="A115" s="134" t="s">
        <v>351</v>
      </c>
      <c r="B115" s="135"/>
      <c r="C115" s="200" t="s">
        <v>357</v>
      </c>
      <c r="D115" s="41" t="s">
        <v>354</v>
      </c>
      <c r="E115" s="44">
        <v>5.5</v>
      </c>
      <c r="F115" s="44">
        <v>311.17</v>
      </c>
      <c r="G115" s="45">
        <f t="shared" si="36"/>
        <v>1711.4350000000002</v>
      </c>
      <c r="H115" s="209">
        <f t="shared" si="37"/>
        <v>2053.7220000000002</v>
      </c>
      <c r="I115" s="273"/>
      <c r="O115" s="222"/>
    </row>
    <row r="116" spans="1:15" ht="67.5">
      <c r="A116" s="134" t="s">
        <v>134</v>
      </c>
      <c r="B116" s="135"/>
      <c r="C116" s="200" t="s">
        <v>358</v>
      </c>
      <c r="D116" s="41" t="s">
        <v>104</v>
      </c>
      <c r="E116" s="44">
        <v>7</v>
      </c>
      <c r="F116" s="44">
        <v>180</v>
      </c>
      <c r="G116" s="45">
        <f t="shared" si="36"/>
        <v>1260</v>
      </c>
      <c r="H116" s="209">
        <f t="shared" si="37"/>
        <v>1512</v>
      </c>
      <c r="I116" s="273"/>
    </row>
    <row r="117" spans="1:15">
      <c r="A117" s="134" t="s">
        <v>359</v>
      </c>
      <c r="B117" s="135"/>
      <c r="C117" s="200" t="s">
        <v>360</v>
      </c>
      <c r="D117" s="193" t="s">
        <v>140</v>
      </c>
      <c r="E117" s="185">
        <v>1</v>
      </c>
      <c r="F117" s="44">
        <v>4368.88</v>
      </c>
      <c r="G117" s="45">
        <f t="shared" si="36"/>
        <v>4368.88</v>
      </c>
      <c r="H117" s="209">
        <f t="shared" si="37"/>
        <v>5242.6559999999999</v>
      </c>
      <c r="I117" s="277"/>
    </row>
    <row r="118" spans="1:15">
      <c r="A118" s="134" t="s">
        <v>361</v>
      </c>
      <c r="B118" s="135"/>
      <c r="C118" s="200" t="s">
        <v>362</v>
      </c>
      <c r="D118" s="193" t="s">
        <v>140</v>
      </c>
      <c r="E118" s="185">
        <v>1</v>
      </c>
      <c r="F118" s="44">
        <v>4439.97</v>
      </c>
      <c r="G118" s="45">
        <f t="shared" si="36"/>
        <v>4439.97</v>
      </c>
      <c r="H118" s="209">
        <f t="shared" si="37"/>
        <v>5327.9639999999999</v>
      </c>
      <c r="I118" s="273"/>
    </row>
    <row r="119" spans="1:15">
      <c r="A119" s="27" t="s">
        <v>363</v>
      </c>
      <c r="B119" s="27" t="s">
        <v>364</v>
      </c>
      <c r="C119" s="197" t="s">
        <v>365</v>
      </c>
      <c r="D119" s="198"/>
      <c r="E119" s="199"/>
      <c r="F119" s="199"/>
      <c r="G119" s="199"/>
      <c r="H119" s="208">
        <f>SUM(H120:H122)</f>
        <v>4562.8879999999999</v>
      </c>
      <c r="I119" s="276"/>
      <c r="K119" s="222"/>
    </row>
    <row r="120" spans="1:15">
      <c r="A120" s="134" t="s">
        <v>366</v>
      </c>
      <c r="B120" s="134"/>
      <c r="C120" s="200" t="s">
        <v>367</v>
      </c>
      <c r="D120" s="193" t="s">
        <v>155</v>
      </c>
      <c r="E120" s="185">
        <v>4</v>
      </c>
      <c r="F120" s="201">
        <v>97.36</v>
      </c>
      <c r="G120" s="187">
        <f t="shared" ref="G120" si="38">F120*E120</f>
        <v>389.44</v>
      </c>
      <c r="H120" s="214">
        <f>G120+(G120*0.25)</f>
        <v>486.8</v>
      </c>
      <c r="K120" s="60"/>
    </row>
    <row r="121" spans="1:15" ht="67.5">
      <c r="A121" s="134" t="s">
        <v>368</v>
      </c>
      <c r="B121" s="134"/>
      <c r="C121" s="200" t="s">
        <v>369</v>
      </c>
      <c r="D121" s="193" t="s">
        <v>155</v>
      </c>
      <c r="E121" s="185">
        <v>4</v>
      </c>
      <c r="F121" s="201">
        <v>788.76</v>
      </c>
      <c r="G121" s="187">
        <f t="shared" ref="G121" si="39">F121*E121</f>
        <v>3155.04</v>
      </c>
      <c r="H121" s="214">
        <f>G121+(G121*0.2)</f>
        <v>3786.0479999999998</v>
      </c>
      <c r="K121" s="60"/>
    </row>
    <row r="122" spans="1:15">
      <c r="A122" s="134" t="s">
        <v>370</v>
      </c>
      <c r="B122" s="134"/>
      <c r="C122" s="200" t="s">
        <v>371</v>
      </c>
      <c r="D122" s="193" t="s">
        <v>130</v>
      </c>
      <c r="E122" s="185">
        <v>10</v>
      </c>
      <c r="F122" s="201">
        <v>24.17</v>
      </c>
      <c r="G122" s="187">
        <f t="shared" ref="G122" si="40">F122*E122</f>
        <v>241.70000000000002</v>
      </c>
      <c r="H122" s="214">
        <f>G122+(G122*0.2)</f>
        <v>290.04000000000002</v>
      </c>
      <c r="J122" s="60"/>
    </row>
    <row r="123" spans="1:15" ht="28.5">
      <c r="A123" s="32" t="s">
        <v>124</v>
      </c>
      <c r="B123" s="32" t="s">
        <v>372</v>
      </c>
      <c r="C123" s="33" t="s">
        <v>373</v>
      </c>
      <c r="D123" s="34"/>
      <c r="E123" s="35"/>
      <c r="F123" s="35"/>
      <c r="G123" s="35"/>
      <c r="H123" s="212">
        <f>SUM(H124:H124)</f>
        <v>11010</v>
      </c>
      <c r="I123" s="284">
        <f>H123/H149</f>
        <v>1.6252471649483725E-2</v>
      </c>
      <c r="K123" t="s">
        <v>374</v>
      </c>
    </row>
    <row r="124" spans="1:15" ht="57">
      <c r="A124" s="31" t="s">
        <v>134</v>
      </c>
      <c r="B124" s="135" t="s">
        <v>375</v>
      </c>
      <c r="C124" s="192" t="s">
        <v>376</v>
      </c>
      <c r="D124" s="137" t="s">
        <v>354</v>
      </c>
      <c r="E124" s="136">
        <v>250</v>
      </c>
      <c r="F124" s="138">
        <v>36.700000000000003</v>
      </c>
      <c r="G124" s="138">
        <f>F124*E124</f>
        <v>9175</v>
      </c>
      <c r="H124" s="216">
        <f>G124+(G124*0.2)</f>
        <v>11010</v>
      </c>
      <c r="I124" s="278"/>
    </row>
    <row r="125" spans="1:15">
      <c r="A125" s="32" t="s">
        <v>124</v>
      </c>
      <c r="B125" s="32" t="s">
        <v>377</v>
      </c>
      <c r="C125" s="33" t="s">
        <v>378</v>
      </c>
      <c r="D125" s="34"/>
      <c r="E125" s="35"/>
      <c r="F125" s="35"/>
      <c r="G125" s="35"/>
      <c r="H125" s="212">
        <f>SUM(H126)</f>
        <v>35254.14</v>
      </c>
      <c r="I125" s="267">
        <f>H125/H149</f>
        <v>5.2040591360302459E-2</v>
      </c>
    </row>
    <row r="126" spans="1:15" ht="57.75">
      <c r="A126" s="285" t="s">
        <v>379</v>
      </c>
      <c r="B126" s="135" t="s">
        <v>380</v>
      </c>
      <c r="C126" s="286" t="s">
        <v>381</v>
      </c>
      <c r="D126" s="137" t="s">
        <v>354</v>
      </c>
      <c r="E126" s="136">
        <v>145</v>
      </c>
      <c r="F126" s="138">
        <v>202.61</v>
      </c>
      <c r="G126" s="138">
        <f>F126*E126</f>
        <v>29378.45</v>
      </c>
      <c r="H126" s="216">
        <f>G126+(G126*0.2)</f>
        <v>35254.14</v>
      </c>
      <c r="I126" s="278"/>
    </row>
    <row r="127" spans="1:15">
      <c r="A127" s="32" t="s">
        <v>124</v>
      </c>
      <c r="B127" s="32" t="s">
        <v>382</v>
      </c>
      <c r="C127" s="330" t="s">
        <v>383</v>
      </c>
      <c r="D127" s="331"/>
      <c r="E127" s="35"/>
      <c r="F127" s="35"/>
      <c r="G127" s="35"/>
      <c r="H127" s="212">
        <f>SUM(H128:H130)</f>
        <v>4513.92</v>
      </c>
      <c r="I127" s="267">
        <f>H127/H149</f>
        <v>6.6632476683049563E-3</v>
      </c>
      <c r="L127" s="222"/>
    </row>
    <row r="128" spans="1:15" ht="59.45" customHeight="1">
      <c r="A128" s="196" t="s">
        <v>384</v>
      </c>
      <c r="B128" s="193" t="s">
        <v>385</v>
      </c>
      <c r="C128" s="194" t="s">
        <v>386</v>
      </c>
      <c r="D128" s="195" t="s">
        <v>155</v>
      </c>
      <c r="E128" s="195">
        <v>2</v>
      </c>
      <c r="F128" s="186">
        <v>715.75</v>
      </c>
      <c r="G128" s="187">
        <f t="shared" ref="G128:G129" si="41">F128*E128</f>
        <v>1431.5</v>
      </c>
      <c r="H128" s="214">
        <f t="shared" ref="H128:H129" si="42">G128+(G128*0.2)</f>
        <v>1717.8</v>
      </c>
      <c r="I128" s="273"/>
    </row>
    <row r="129" spans="1:12" ht="27.75">
      <c r="A129" s="196" t="s">
        <v>387</v>
      </c>
      <c r="B129" s="193" t="s">
        <v>388</v>
      </c>
      <c r="C129" s="194" t="s">
        <v>389</v>
      </c>
      <c r="D129" s="195" t="s">
        <v>155</v>
      </c>
      <c r="E129" s="195">
        <v>4</v>
      </c>
      <c r="F129" s="186">
        <v>179.49</v>
      </c>
      <c r="G129" s="187">
        <f t="shared" si="41"/>
        <v>717.96</v>
      </c>
      <c r="H129" s="214">
        <f t="shared" si="42"/>
        <v>861.55200000000002</v>
      </c>
      <c r="I129" s="273"/>
    </row>
    <row r="130" spans="1:12" ht="27.75">
      <c r="A130" s="196" t="s">
        <v>390</v>
      </c>
      <c r="B130" s="193" t="s">
        <v>391</v>
      </c>
      <c r="C130" s="194" t="s">
        <v>392</v>
      </c>
      <c r="D130" s="195" t="s">
        <v>155</v>
      </c>
      <c r="E130" s="195">
        <v>6</v>
      </c>
      <c r="F130" s="186">
        <v>268.69</v>
      </c>
      <c r="G130" s="187">
        <f t="shared" ref="G130" si="43">F130*E130</f>
        <v>1612.1399999999999</v>
      </c>
      <c r="H130" s="214">
        <f>G130+(G130*0.2)</f>
        <v>1934.5679999999998</v>
      </c>
      <c r="I130" s="273"/>
    </row>
    <row r="131" spans="1:12">
      <c r="A131" s="32"/>
      <c r="B131" s="32" t="s">
        <v>393</v>
      </c>
      <c r="C131" s="154" t="s">
        <v>394</v>
      </c>
      <c r="D131" s="155"/>
      <c r="E131" s="156"/>
      <c r="F131" s="35"/>
      <c r="G131" s="35"/>
      <c r="H131" s="212">
        <f>SUM(H132:H133)</f>
        <v>35187.5</v>
      </c>
      <c r="I131" s="279"/>
      <c r="L131" s="222"/>
    </row>
    <row r="132" spans="1:12">
      <c r="A132" s="31" t="s">
        <v>134</v>
      </c>
      <c r="B132" s="182" t="s">
        <v>395</v>
      </c>
      <c r="C132" s="183" t="s">
        <v>396</v>
      </c>
      <c r="D132" s="43" t="s">
        <v>354</v>
      </c>
      <c r="E132" s="136">
        <v>370</v>
      </c>
      <c r="F132" s="181">
        <v>55</v>
      </c>
      <c r="G132" s="45">
        <f t="shared" ref="G132:G133" si="44">F132*E132</f>
        <v>20350</v>
      </c>
      <c r="H132" s="209">
        <f t="shared" ref="H132:H133" si="45">G132+(G132*0.25)</f>
        <v>25437.5</v>
      </c>
      <c r="I132" s="277"/>
    </row>
    <row r="133" spans="1:12" ht="117.75" customHeight="1">
      <c r="A133" s="31" t="s">
        <v>134</v>
      </c>
      <c r="B133" s="182" t="s">
        <v>397</v>
      </c>
      <c r="C133" s="183" t="s">
        <v>398</v>
      </c>
      <c r="D133" s="43" t="s">
        <v>354</v>
      </c>
      <c r="E133" s="41">
        <v>120</v>
      </c>
      <c r="F133" s="181">
        <v>65</v>
      </c>
      <c r="G133" s="45">
        <f t="shared" si="44"/>
        <v>7800</v>
      </c>
      <c r="H133" s="209">
        <f t="shared" si="45"/>
        <v>9750</v>
      </c>
      <c r="I133" s="277"/>
    </row>
    <row r="134" spans="1:12">
      <c r="A134" s="32"/>
      <c r="B134" s="32" t="s">
        <v>399</v>
      </c>
      <c r="C134" s="33" t="s">
        <v>400</v>
      </c>
      <c r="D134" s="34"/>
      <c r="E134" s="35"/>
      <c r="F134" s="35"/>
      <c r="G134" s="35"/>
      <c r="H134" s="212">
        <f>SUM(H135)</f>
        <v>11062.5</v>
      </c>
      <c r="I134" s="279"/>
    </row>
    <row r="135" spans="1:12" ht="57">
      <c r="A135" s="31" t="s">
        <v>134</v>
      </c>
      <c r="B135" s="140"/>
      <c r="C135" s="141" t="s">
        <v>401</v>
      </c>
      <c r="D135" s="43" t="s">
        <v>402</v>
      </c>
      <c r="E135" s="41">
        <v>3</v>
      </c>
      <c r="F135" s="181">
        <v>2950</v>
      </c>
      <c r="G135" s="45">
        <f t="shared" ref="G135" si="46">F135*E135</f>
        <v>8850</v>
      </c>
      <c r="H135" s="209">
        <f t="shared" ref="H135" si="47">G135+(G135*0.25)</f>
        <v>11062.5</v>
      </c>
    </row>
    <row r="136" spans="1:12">
      <c r="A136" s="32"/>
      <c r="B136" s="32" t="s">
        <v>403</v>
      </c>
      <c r="C136" s="33" t="s">
        <v>404</v>
      </c>
      <c r="D136" s="34"/>
      <c r="E136" s="35"/>
      <c r="F136" s="35"/>
      <c r="G136" s="35"/>
      <c r="H136" s="212">
        <f>SUM(H137)</f>
        <v>9375</v>
      </c>
      <c r="I136" s="279"/>
    </row>
    <row r="137" spans="1:12" ht="57">
      <c r="A137" s="31" t="s">
        <v>134</v>
      </c>
      <c r="B137" s="41" t="s">
        <v>405</v>
      </c>
      <c r="C137" s="180" t="s">
        <v>406</v>
      </c>
      <c r="D137" s="43" t="s">
        <v>155</v>
      </c>
      <c r="E137" s="136">
        <v>3</v>
      </c>
      <c r="F137" s="138">
        <v>2500</v>
      </c>
      <c r="G137" s="138">
        <f t="shared" ref="G137" si="48">F137*E137</f>
        <v>7500</v>
      </c>
      <c r="H137" s="216">
        <f t="shared" ref="H137" si="49">G137+(G137*0.25)</f>
        <v>9375</v>
      </c>
    </row>
    <row r="138" spans="1:12">
      <c r="A138" s="32"/>
      <c r="B138" s="32" t="s">
        <v>407</v>
      </c>
      <c r="C138" s="33" t="s">
        <v>408</v>
      </c>
      <c r="D138" s="34"/>
      <c r="E138" s="35"/>
      <c r="F138" s="35"/>
      <c r="G138" s="35"/>
      <c r="H138" s="212">
        <v>3500</v>
      </c>
      <c r="I138" s="279"/>
    </row>
    <row r="139" spans="1:12">
      <c r="A139" s="27"/>
      <c r="B139" s="27"/>
      <c r="C139" s="28" t="s">
        <v>409</v>
      </c>
      <c r="D139" s="29"/>
      <c r="E139" s="30"/>
      <c r="F139" s="30"/>
      <c r="G139" s="30"/>
      <c r="H139" s="206"/>
      <c r="I139" s="280"/>
    </row>
    <row r="140" spans="1:12">
      <c r="A140" s="329" t="s">
        <v>410</v>
      </c>
      <c r="B140" s="48" t="s">
        <v>411</v>
      </c>
      <c r="C140" s="49" t="s">
        <v>412</v>
      </c>
      <c r="D140" s="50" t="s">
        <v>413</v>
      </c>
      <c r="E140" s="51"/>
      <c r="F140" s="52"/>
      <c r="G140" s="52"/>
      <c r="H140" s="217"/>
      <c r="I140" s="281"/>
    </row>
    <row r="141" spans="1:12" s="3" customFormat="1" ht="57">
      <c r="A141" s="329"/>
      <c r="B141" s="48" t="s">
        <v>414</v>
      </c>
      <c r="C141" s="49" t="s">
        <v>415</v>
      </c>
      <c r="D141" s="50" t="s">
        <v>413</v>
      </c>
      <c r="E141" s="51"/>
      <c r="F141" s="52"/>
      <c r="G141" s="52"/>
      <c r="H141" s="217"/>
      <c r="I141" s="281"/>
      <c r="J141" s="4"/>
    </row>
    <row r="142" spans="1:12" s="3" customFormat="1" ht="42.75">
      <c r="A142" s="329"/>
      <c r="B142" s="48" t="s">
        <v>416</v>
      </c>
      <c r="C142" s="49" t="s">
        <v>417</v>
      </c>
      <c r="D142" s="50" t="s">
        <v>413</v>
      </c>
      <c r="E142" s="51"/>
      <c r="F142" s="52"/>
      <c r="G142" s="52"/>
      <c r="H142" s="217"/>
      <c r="I142" s="281"/>
      <c r="J142" s="4"/>
    </row>
    <row r="143" spans="1:12" s="3" customFormat="1" ht="57">
      <c r="A143" s="329"/>
      <c r="B143" s="48" t="s">
        <v>418</v>
      </c>
      <c r="C143" s="49" t="s">
        <v>419</v>
      </c>
      <c r="D143" s="50" t="s">
        <v>413</v>
      </c>
      <c r="E143" s="51"/>
      <c r="F143" s="52"/>
      <c r="G143" s="52"/>
      <c r="H143" s="217"/>
      <c r="I143" s="281"/>
      <c r="J143" s="4"/>
    </row>
    <row r="144" spans="1:12" s="3" customFormat="1" ht="28.5">
      <c r="A144" s="329"/>
      <c r="B144" s="48" t="s">
        <v>420</v>
      </c>
      <c r="C144" s="49" t="s">
        <v>421</v>
      </c>
      <c r="D144" s="50" t="s">
        <v>413</v>
      </c>
      <c r="E144" s="51"/>
      <c r="F144" s="52"/>
      <c r="G144" s="52"/>
      <c r="H144" s="217"/>
      <c r="I144" s="281"/>
      <c r="J144" s="4"/>
    </row>
    <row r="145" spans="1:12" s="3" customFormat="1" ht="28.5">
      <c r="A145" s="329"/>
      <c r="B145" s="48" t="s">
        <v>422</v>
      </c>
      <c r="C145" s="49" t="s">
        <v>423</v>
      </c>
      <c r="D145" s="50"/>
      <c r="E145" s="51"/>
      <c r="F145" s="52"/>
      <c r="G145" s="52"/>
      <c r="H145" s="217"/>
      <c r="I145" s="281"/>
      <c r="J145" s="4"/>
    </row>
    <row r="146" spans="1:12">
      <c r="A146" s="32"/>
      <c r="B146" s="32" t="s">
        <v>424</v>
      </c>
      <c r="C146" s="32" t="s">
        <v>425</v>
      </c>
      <c r="D146" s="32"/>
      <c r="E146" s="32"/>
      <c r="F146" s="32"/>
      <c r="G146" s="32"/>
      <c r="H146" s="218">
        <f>SUM(H147,H148)</f>
        <v>4875</v>
      </c>
      <c r="I146" s="282"/>
      <c r="J146" s="60"/>
      <c r="L146" s="222"/>
    </row>
    <row r="147" spans="1:12">
      <c r="A147" s="31" t="s">
        <v>426</v>
      </c>
      <c r="B147" s="41" t="s">
        <v>427</v>
      </c>
      <c r="C147" s="47" t="s">
        <v>428</v>
      </c>
      <c r="D147" s="43" t="s">
        <v>354</v>
      </c>
      <c r="E147" s="44">
        <v>750</v>
      </c>
      <c r="F147" s="45">
        <v>2.5</v>
      </c>
      <c r="G147" s="45">
        <f>F147*E147</f>
        <v>1875</v>
      </c>
      <c r="H147" s="209">
        <f>G147+(G147*0.3)</f>
        <v>2437.5</v>
      </c>
    </row>
    <row r="148" spans="1:12">
      <c r="A148" s="31"/>
      <c r="B148" s="41" t="s">
        <v>429</v>
      </c>
      <c r="C148" s="53" t="s">
        <v>430</v>
      </c>
      <c r="D148" s="43" t="s">
        <v>354</v>
      </c>
      <c r="E148" s="44">
        <v>750</v>
      </c>
      <c r="F148" s="45">
        <v>2.5</v>
      </c>
      <c r="G148" s="45">
        <f>F148*E148</f>
        <v>1875</v>
      </c>
      <c r="H148" s="209">
        <f>G148+(G148*0.3)</f>
        <v>2437.5</v>
      </c>
      <c r="L148" s="222"/>
    </row>
    <row r="149" spans="1:12" ht="18.75">
      <c r="A149" s="241"/>
      <c r="B149" s="242"/>
      <c r="C149" s="243" t="s">
        <v>431</v>
      </c>
      <c r="D149" s="242"/>
      <c r="E149" s="244"/>
      <c r="F149" s="242"/>
      <c r="G149" s="242"/>
      <c r="H149" s="245">
        <f>SUM(H110,H91,H30,H25,H10)</f>
        <v>677435.42258999997</v>
      </c>
      <c r="I149" s="283"/>
      <c r="K149" s="60"/>
    </row>
    <row r="150" spans="1:12" ht="18.75">
      <c r="A150" s="241"/>
      <c r="B150" s="242"/>
      <c r="C150" s="246" t="s">
        <v>432</v>
      </c>
      <c r="D150" s="242"/>
      <c r="E150" s="244"/>
      <c r="F150" s="242"/>
      <c r="G150" s="242"/>
      <c r="H150" s="247">
        <f>(H149*0.2)</f>
        <v>135487.08451799999</v>
      </c>
      <c r="I150" s="283"/>
      <c r="L150" s="222"/>
    </row>
    <row r="151" spans="1:12" ht="18.75">
      <c r="A151" s="241"/>
      <c r="B151" s="242"/>
      <c r="C151" s="243" t="s">
        <v>433</v>
      </c>
      <c r="D151" s="242"/>
      <c r="E151" s="244"/>
      <c r="F151" s="242"/>
      <c r="G151" s="242"/>
      <c r="H151" s="248">
        <f>H149*0.8</f>
        <v>541948.33807199995</v>
      </c>
      <c r="I151" s="283"/>
      <c r="K151" s="222"/>
    </row>
    <row r="152" spans="1:12" ht="18.75">
      <c r="A152" s="332" t="s">
        <v>434</v>
      </c>
      <c r="B152" s="333"/>
      <c r="C152" s="333"/>
      <c r="D152" s="333"/>
      <c r="E152" s="333"/>
      <c r="F152" s="333"/>
      <c r="G152" s="333"/>
      <c r="H152" s="334"/>
      <c r="I152" s="283"/>
    </row>
    <row r="153" spans="1:12" ht="15.75">
      <c r="A153" s="1"/>
      <c r="B153" s="2"/>
      <c r="C153" s="327"/>
      <c r="D153" s="327"/>
      <c r="E153" s="327"/>
      <c r="F153" s="327"/>
      <c r="G153" s="327"/>
      <c r="H153" s="327"/>
    </row>
    <row r="154" spans="1:12">
      <c r="A154" s="1"/>
      <c r="B154" s="2"/>
      <c r="H154" s="219"/>
    </row>
    <row r="155" spans="1:12">
      <c r="A155" s="3"/>
      <c r="B155" s="3"/>
      <c r="C155" s="3"/>
      <c r="D155" s="3"/>
      <c r="E155" s="3"/>
      <c r="F155" s="3"/>
      <c r="G155" s="3"/>
      <c r="H155" s="220"/>
    </row>
    <row r="156" spans="1:12">
      <c r="A156" s="3"/>
      <c r="B156" s="325"/>
      <c r="C156" s="325"/>
      <c r="D156" s="325"/>
      <c r="E156" s="325"/>
      <c r="F156" s="325"/>
      <c r="G156" s="3"/>
      <c r="H156" s="220"/>
    </row>
    <row r="157" spans="1:12" ht="18.75">
      <c r="A157" s="3"/>
      <c r="B157" s="323"/>
      <c r="C157" s="323"/>
      <c r="D157" s="323"/>
      <c r="E157" s="323"/>
      <c r="F157" s="323"/>
      <c r="G157" s="3"/>
      <c r="H157" s="220"/>
    </row>
    <row r="158" spans="1:12" ht="18.75">
      <c r="A158" s="3"/>
      <c r="B158" s="323"/>
      <c r="C158" s="323"/>
      <c r="D158" s="323"/>
      <c r="E158" s="323"/>
      <c r="F158" s="323"/>
      <c r="G158" s="3"/>
      <c r="H158" s="220"/>
      <c r="J158" s="223" t="s">
        <v>435</v>
      </c>
    </row>
    <row r="159" spans="1:12" ht="15.75">
      <c r="A159" s="3"/>
      <c r="B159" s="326"/>
      <c r="C159" s="326"/>
      <c r="D159" s="326"/>
      <c r="E159" s="326"/>
      <c r="F159" s="326"/>
      <c r="G159" s="3"/>
      <c r="H159" s="220"/>
    </row>
    <row r="160" spans="1:12" ht="18.75">
      <c r="C160" s="323"/>
      <c r="D160" s="323"/>
      <c r="E160" s="323"/>
      <c r="F160" s="323"/>
      <c r="G160" s="323"/>
    </row>
  </sheetData>
  <mergeCells count="23">
    <mergeCell ref="C91:G91"/>
    <mergeCell ref="A1:H1"/>
    <mergeCell ref="A2:H2"/>
    <mergeCell ref="A5:F5"/>
    <mergeCell ref="A4:F4"/>
    <mergeCell ref="C30:G30"/>
    <mergeCell ref="F7:I7"/>
    <mergeCell ref="C110:G110"/>
    <mergeCell ref="C25:G25"/>
    <mergeCell ref="C160:G160"/>
    <mergeCell ref="F6:H6"/>
    <mergeCell ref="B156:F156"/>
    <mergeCell ref="B157:F157"/>
    <mergeCell ref="B158:F158"/>
    <mergeCell ref="B159:F159"/>
    <mergeCell ref="C153:H153"/>
    <mergeCell ref="A6:D6"/>
    <mergeCell ref="A140:A145"/>
    <mergeCell ref="C127:D127"/>
    <mergeCell ref="A152:H152"/>
    <mergeCell ref="A7:C7"/>
    <mergeCell ref="C92:G92"/>
    <mergeCell ref="C95:G95"/>
  </mergeCells>
  <phoneticPr fontId="0" type="noConversion"/>
  <printOptions horizontalCentered="1"/>
  <pageMargins left="0.19685039370078741" right="0.19685039370078741" top="0.78740157480314965" bottom="0.78740157480314965" header="0.27559055118110237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Comunicacao - CAU/DF</cp:lastModifiedBy>
  <cp:revision/>
  <dcterms:created xsi:type="dcterms:W3CDTF">2016-12-29T17:22:11Z</dcterms:created>
  <dcterms:modified xsi:type="dcterms:W3CDTF">2023-12-04T17:55:33Z</dcterms:modified>
  <cp:category/>
  <cp:contentStatus/>
</cp:coreProperties>
</file>