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17145" yWindow="3930" windowWidth="11655" windowHeight="8775" tabRatio="884" firstSheet="1" activeTab="2"/>
  </bookViews>
  <sheets>
    <sheet name="Orientações Iniciais" sheetId="42" state="hidden" r:id="rId1"/>
    <sheet name="Indicadores e Metas" sheetId="39" r:id="rId2"/>
    <sheet name="Quadro Geral" sheetId="15" r:id="rId3"/>
    <sheet name="Demonstrativo de Empenhos e Pag" sheetId="45" state="hidden" r:id="rId4"/>
    <sheet name="CC" sheetId="47" state="hidden" r:id="rId5"/>
    <sheet name="Fontes " sheetId="8" r:id="rId6"/>
    <sheet name="receitas" sheetId="46" state="hidden" r:id="rId7"/>
    <sheet name="Receitas 3" sheetId="52" state="hidden" r:id="rId8"/>
    <sheet name="Limites Estratégicos" sheetId="23" r:id="rId9"/>
    <sheet name="Validação de dados" sheetId="31" state="hidden" r:id="rId10"/>
    <sheet name="Diretrizes - Resumo" sheetId="40" state="hidden" r:id="rId11"/>
    <sheet name="Despesas" sheetId="53" state="hidden" r:id="rId12"/>
    <sheet name="Matriz de Obj. Estrat." sheetId="41" r:id="rId13"/>
    <sheet name="Receitas 2" sheetId="48" state="hidden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xlfn_IFERROR">#N/A</definedName>
    <definedName name="_xlnm._FilterDatabase" localSheetId="10" hidden="1">'Diretrizes - Resumo'!$A$3:$V$30</definedName>
    <definedName name="_xlnm._FilterDatabase" localSheetId="1" hidden="1">'Indicadores e Metas'!$A$28:$S$78</definedName>
    <definedName name="_xlnm._FilterDatabase" localSheetId="2" hidden="1">'Quadro Geral'!$A$6:$AJ$83</definedName>
    <definedName name="A" localSheetId="10">#REF!</definedName>
    <definedName name="A" localSheetId="1">#REF!</definedName>
    <definedName name="A" localSheetId="12">#REF!</definedName>
    <definedName name="A" localSheetId="0">#REF!</definedName>
    <definedName name="A" localSheetId="2">#REF!</definedName>
    <definedName name="A">#REF!</definedName>
    <definedName name="Anexo" localSheetId="1">#REF!</definedName>
    <definedName name="Anexo" localSheetId="12">#REF!</definedName>
    <definedName name="Anexo">#REF!</definedName>
    <definedName name="Anexo_1.4.4" localSheetId="1">#REF!</definedName>
    <definedName name="Anexo_1.4.4" localSheetId="12">#REF!</definedName>
    <definedName name="Anexo_1.4.4">#REF!</definedName>
    <definedName name="ar">#N/A</definedName>
    <definedName name="_xlnm.Print_Area" localSheetId="5">'Fontes '!$A$1:$E$24</definedName>
    <definedName name="_xlnm.Print_Area" localSheetId="1">'Indicadores e Metas'!$A$1:$G$79</definedName>
    <definedName name="_xlnm.Print_Area" localSheetId="12">'Matriz de Obj. Estrat.'!$A$1:$K$19</definedName>
    <definedName name="_xlnm.Print_Area" localSheetId="2">'Quadro Geral'!$A$1:$I$85</definedName>
    <definedName name="asas" localSheetId="1">#REF!</definedName>
    <definedName name="asas" localSheetId="12">#REF!</definedName>
    <definedName name="asas">#REF!</definedName>
    <definedName name="ass" localSheetId="1">#REF!</definedName>
    <definedName name="ass" localSheetId="12">#REF!</definedName>
    <definedName name="ass">#REF!</definedName>
    <definedName name="_xlnm.Database" localSheetId="10">#REF!</definedName>
    <definedName name="_xlnm.Database" localSheetId="1">#REF!</definedName>
    <definedName name="_xlnm.Database" localSheetId="12">#REF!</definedName>
    <definedName name="_xlnm.Database" localSheetId="0">#REF!</definedName>
    <definedName name="_xlnm.Database" localSheetId="2">#REF!</definedName>
    <definedName name="_xlnm.Database">#REF!</definedName>
    <definedName name="banco_de_dados_sym" localSheetId="10">#REF!</definedName>
    <definedName name="banco_de_dados_sym" localSheetId="1">#REF!</definedName>
    <definedName name="banco_de_dados_sym" localSheetId="12">#REF!</definedName>
    <definedName name="banco_de_dados_sym">#REF!</definedName>
    <definedName name="Copia" localSheetId="1">#REF!</definedName>
    <definedName name="Copia" localSheetId="12">#REF!</definedName>
    <definedName name="Copia">#REF!</definedName>
    <definedName name="copia2" localSheetId="1">#REF!</definedName>
    <definedName name="copia2" localSheetId="12">#REF!</definedName>
    <definedName name="copia2">#REF!</definedName>
    <definedName name="_xlnm.Criteria" localSheetId="1">#REF!</definedName>
    <definedName name="_xlnm.Criteria" localSheetId="12">#REF!</definedName>
    <definedName name="_xlnm.Criteria">#REF!</definedName>
    <definedName name="dados" localSheetId="1">#REF!</definedName>
    <definedName name="dados" localSheetId="12">#REF!</definedName>
    <definedName name="dados">#REF!</definedName>
    <definedName name="Database" localSheetId="12">#REF!</definedName>
    <definedName name="Database">#REF!</definedName>
    <definedName name="DEZEMBRO" localSheetId="12">#REF!</definedName>
    <definedName name="DEZEMBRO">#REF!</definedName>
    <definedName name="huala" localSheetId="1">#REF!</definedName>
    <definedName name="huala" localSheetId="12">#REF!</definedName>
    <definedName name="huala">#REF!</definedName>
    <definedName name="kk" localSheetId="1">#REF!</definedName>
    <definedName name="kk" localSheetId="12">#REF!</definedName>
    <definedName name="kk">#REF!</definedName>
    <definedName name="Percentual5" localSheetId="10">'[1]Estudos - Receita'!$XFB$1:$XFB$20</definedName>
    <definedName name="Percentual5">'[2]Estudos - Receita'!$XFB$1:$XFB$20</definedName>
    <definedName name="PJ2anos" localSheetId="10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12">#REF!</definedName>
    <definedName name="X">#REF!</definedName>
    <definedName name="XFE1048575" localSheetId="10">#REF!</definedName>
    <definedName name="XFE1048575" localSheetId="1">#REF!</definedName>
    <definedName name="XFE1048575" localSheetId="12">#REF!</definedName>
    <definedName name="XFE1048575">#REF!</definedName>
    <definedName name="XFe1048576" localSheetId="10">#REF!</definedName>
    <definedName name="XFe1048576" localSheetId="1">#REF!</definedName>
    <definedName name="XFe1048576" localSheetId="12">#REF!</definedName>
    <definedName name="XFe1048576">#REF!</definedName>
  </definedNames>
  <calcPr calcId="145621"/>
</workbook>
</file>

<file path=xl/calcChain.xml><?xml version="1.0" encoding="utf-8"?>
<calcChain xmlns="http://schemas.openxmlformats.org/spreadsheetml/2006/main">
  <c r="I19" i="23" l="1"/>
  <c r="I23" i="23" l="1"/>
  <c r="G64" i="39"/>
  <c r="I64" i="39"/>
  <c r="G15" i="39"/>
  <c r="I15" i="39"/>
  <c r="N11" i="23" l="1"/>
  <c r="I7" i="23"/>
  <c r="P14" i="23"/>
  <c r="P13" i="23"/>
  <c r="P12" i="23"/>
  <c r="P11" i="23"/>
  <c r="Q13" i="23" l="1"/>
  <c r="Q5" i="23"/>
  <c r="AB5" i="23" s="1"/>
  <c r="AB4" i="23"/>
  <c r="Q4" i="23"/>
  <c r="P6" i="23"/>
  <c r="P5" i="23"/>
  <c r="P4" i="23"/>
  <c r="H23" i="23"/>
  <c r="I24" i="8"/>
  <c r="I12" i="8"/>
  <c r="I13" i="8"/>
  <c r="I14" i="8"/>
  <c r="I15" i="8"/>
  <c r="I16" i="8"/>
  <c r="I17" i="8"/>
  <c r="I18" i="8"/>
  <c r="I19" i="8"/>
  <c r="I20" i="8"/>
  <c r="I21" i="8"/>
  <c r="I22" i="8"/>
  <c r="I23" i="8"/>
  <c r="I8" i="8"/>
  <c r="I9" i="8"/>
  <c r="I10" i="8"/>
  <c r="I11" i="8"/>
  <c r="I7" i="8"/>
  <c r="H17" i="8"/>
  <c r="H8" i="8" s="1"/>
  <c r="H9" i="8"/>
  <c r="H24" i="8"/>
  <c r="H19" i="8"/>
  <c r="H18" i="8"/>
  <c r="H16" i="8"/>
  <c r="H13" i="8"/>
  <c r="H15" i="8"/>
  <c r="O24" i="52"/>
  <c r="H14" i="8"/>
  <c r="H10" i="8"/>
  <c r="H12" i="8"/>
  <c r="O22" i="52"/>
  <c r="H11" i="8"/>
  <c r="H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7" i="8"/>
  <c r="I8" i="15" l="1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7" i="15"/>
  <c r="L8" i="15" l="1"/>
  <c r="L9" i="15"/>
  <c r="L10" i="15"/>
  <c r="L11" i="15"/>
  <c r="L12" i="15"/>
  <c r="L13" i="15"/>
  <c r="L14" i="15"/>
  <c r="L15" i="15"/>
  <c r="L16" i="15"/>
  <c r="L17" i="15"/>
  <c r="I73" i="39" l="1"/>
  <c r="I77" i="39" l="1"/>
  <c r="I75" i="39"/>
  <c r="H64" i="39" l="1"/>
  <c r="R11" i="15" l="1"/>
  <c r="Q11" i="15"/>
  <c r="R15" i="15" l="1"/>
  <c r="R20" i="15" l="1"/>
  <c r="R19" i="15"/>
  <c r="R18" i="15"/>
  <c r="R17" i="15"/>
  <c r="R16" i="15"/>
  <c r="R14" i="15"/>
  <c r="R13" i="15"/>
  <c r="R12" i="15"/>
  <c r="R10" i="15"/>
  <c r="R9" i="15"/>
  <c r="R8" i="15"/>
  <c r="R7" i="15"/>
  <c r="Q20" i="15"/>
  <c r="Q19" i="15"/>
  <c r="Q18" i="15"/>
  <c r="Q17" i="15"/>
  <c r="Q16" i="15"/>
  <c r="Q15" i="15"/>
  <c r="Q14" i="15"/>
  <c r="Q13" i="15"/>
  <c r="Q12" i="15"/>
  <c r="Q9" i="15"/>
  <c r="Q8" i="15"/>
  <c r="Q7" i="15"/>
  <c r="Q10" i="15"/>
  <c r="P54" i="47" l="1"/>
  <c r="P48" i="47"/>
  <c r="P32" i="47"/>
  <c r="P26" i="47"/>
  <c r="P24" i="47"/>
  <c r="P20" i="47"/>
  <c r="P18" i="47"/>
  <c r="P16" i="47"/>
  <c r="H77" i="39" l="1"/>
  <c r="H75" i="39"/>
  <c r="H73" i="39"/>
  <c r="H71" i="39"/>
  <c r="H55" i="39"/>
  <c r="H39" i="39"/>
  <c r="H34" i="39"/>
  <c r="H32" i="39"/>
  <c r="H29" i="39"/>
  <c r="H27" i="39"/>
  <c r="H25" i="39"/>
  <c r="H17" i="39"/>
  <c r="H15" i="39"/>
  <c r="H13" i="39"/>
  <c r="H11" i="39"/>
  <c r="O25" i="48"/>
  <c r="H20" i="23" l="1"/>
  <c r="H12" i="23"/>
  <c r="H11" i="23"/>
  <c r="H22" i="23"/>
  <c r="H21" i="23"/>
  <c r="H19" i="23"/>
  <c r="H18" i="23"/>
  <c r="H17" i="23"/>
  <c r="H16" i="23"/>
  <c r="H15" i="23"/>
  <c r="H14" i="23"/>
  <c r="H13" i="23"/>
  <c r="H7" i="23"/>
  <c r="O7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L20" i="15"/>
  <c r="L19" i="15"/>
  <c r="L18" i="15"/>
  <c r="L7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N5" i="23" l="1"/>
  <c r="D64" i="39" l="1"/>
  <c r="D34" i="39"/>
  <c r="E15" i="39"/>
  <c r="D15" i="39"/>
  <c r="E13" i="39"/>
  <c r="G73" i="39" l="1"/>
  <c r="E73" i="39" l="1"/>
  <c r="E64" i="39"/>
  <c r="E34" i="39"/>
  <c r="E17" i="39"/>
  <c r="N13" i="23" l="1"/>
  <c r="AB13" i="23" s="1"/>
  <c r="G20" i="15"/>
  <c r="G19" i="15"/>
  <c r="G18" i="15"/>
  <c r="G17" i="15"/>
  <c r="G16" i="15"/>
  <c r="G15" i="15"/>
  <c r="G14" i="15"/>
  <c r="G13" i="15"/>
  <c r="G12" i="15"/>
  <c r="G11" i="15"/>
  <c r="G10" i="15"/>
  <c r="G8" i="15"/>
  <c r="G7" i="15"/>
  <c r="E19" i="23"/>
  <c r="E21" i="23"/>
  <c r="I21" i="23" s="1"/>
  <c r="E17" i="23"/>
  <c r="E15" i="23"/>
  <c r="I15" i="23" s="1"/>
  <c r="E13" i="23"/>
  <c r="I13" i="23" s="1"/>
  <c r="E11" i="23"/>
  <c r="I11" i="23" s="1"/>
  <c r="D19" i="8"/>
  <c r="I39" i="39" l="1"/>
  <c r="I17" i="23"/>
  <c r="D17" i="8"/>
  <c r="D15" i="8" l="1"/>
  <c r="D12" i="8"/>
  <c r="D11" i="8"/>
  <c r="G81" i="15" l="1"/>
  <c r="Q81" i="15" s="1"/>
  <c r="H81" i="15"/>
  <c r="F81" i="15"/>
  <c r="F17" i="23"/>
  <c r="E12" i="8"/>
  <c r="E15" i="8"/>
  <c r="E16" i="8"/>
  <c r="E17" i="8"/>
  <c r="E18" i="8"/>
  <c r="E19" i="8"/>
  <c r="E20" i="8"/>
  <c r="E22" i="8"/>
  <c r="E23" i="8"/>
  <c r="F7" i="23"/>
  <c r="O13" i="23"/>
  <c r="O5" i="23"/>
  <c r="O4" i="23"/>
  <c r="F23" i="23"/>
  <c r="F21" i="23"/>
  <c r="F19" i="23"/>
  <c r="F15" i="23"/>
  <c r="F13" i="23"/>
  <c r="F11" i="23"/>
  <c r="G82" i="15" l="1"/>
  <c r="P82" i="15"/>
  <c r="R81" i="15"/>
  <c r="I81" i="15"/>
  <c r="A1" i="8"/>
  <c r="D5" i="40"/>
  <c r="G5" i="40"/>
  <c r="D6" i="40"/>
  <c r="D7" i="40"/>
  <c r="G7" i="40"/>
  <c r="D8" i="40"/>
  <c r="G8" i="40"/>
  <c r="D9" i="40"/>
  <c r="G9" i="40"/>
  <c r="D10" i="40"/>
  <c r="D11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G30" i="40" l="1"/>
  <c r="G26" i="40"/>
  <c r="G22" i="40"/>
  <c r="G18" i="40"/>
  <c r="G14" i="40"/>
  <c r="G10" i="40"/>
  <c r="G6" i="40"/>
  <c r="G27" i="40"/>
  <c r="G23" i="40"/>
  <c r="G19" i="40"/>
  <c r="G15" i="40"/>
  <c r="G11" i="40"/>
  <c r="J9" i="41"/>
  <c r="I7" i="41"/>
  <c r="J5" i="41"/>
  <c r="J15" i="41"/>
  <c r="J17" i="41"/>
  <c r="J13" i="41"/>
  <c r="J11" i="4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J4" i="41"/>
  <c r="I17" i="41"/>
  <c r="J3" i="41"/>
  <c r="I3" i="41"/>
  <c r="D19" i="41"/>
  <c r="C19" i="41"/>
  <c r="G13" i="23" l="1"/>
  <c r="G15" i="23"/>
  <c r="G11" i="23"/>
  <c r="F19" i="41"/>
  <c r="E19" i="41"/>
  <c r="I19" i="41" l="1"/>
  <c r="J19" i="41"/>
  <c r="G19" i="41"/>
  <c r="H19" i="41"/>
  <c r="AK22" i="40"/>
  <c r="AK23" i="40"/>
  <c r="AK24" i="40"/>
  <c r="AK21" i="40"/>
  <c r="AK20" i="40"/>
  <c r="K3" i="41" l="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AK10" i="40" l="1"/>
  <c r="AN9" i="40"/>
  <c r="AN6" i="40"/>
  <c r="AN7" i="40"/>
  <c r="AK16" i="40"/>
  <c r="AN3" i="40"/>
  <c r="AN5" i="40"/>
  <c r="AK15" i="40"/>
  <c r="AK19" i="40"/>
  <c r="AN8" i="40"/>
  <c r="G4" i="40" l="1"/>
  <c r="AK7" i="40"/>
  <c r="AK12" i="40"/>
  <c r="AK11" i="40"/>
  <c r="AK13" i="40"/>
  <c r="AK8" i="40"/>
  <c r="J6" i="40"/>
  <c r="J24" i="40"/>
  <c r="J8" i="40"/>
  <c r="J11" i="40"/>
  <c r="J25" i="40"/>
  <c r="J22" i="40"/>
  <c r="J9" i="40"/>
  <c r="D4" i="40"/>
  <c r="J4" i="40" s="1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AN4" i="40"/>
  <c r="J30" i="40"/>
  <c r="AK9" i="40" l="1"/>
  <c r="AK6" i="40"/>
  <c r="AK5" i="40" s="1"/>
  <c r="AK4" i="40" s="1"/>
  <c r="AK3" i="40" s="1"/>
  <c r="J28" i="40"/>
  <c r="J26" i="40"/>
  <c r="J14" i="40"/>
  <c r="M14" i="23" l="1"/>
  <c r="M11" i="23"/>
  <c r="D10" i="8"/>
  <c r="J20" i="41" l="1"/>
  <c r="J21" i="41" s="1"/>
  <c r="A1" i="15" l="1"/>
  <c r="E5" i="23" l="1"/>
  <c r="D5" i="23"/>
  <c r="H5" i="23" s="1"/>
  <c r="D21" i="8"/>
  <c r="E11" i="8" s="1"/>
  <c r="D13" i="8"/>
  <c r="G5" i="23" l="1"/>
  <c r="F5" i="23"/>
  <c r="D9" i="8"/>
  <c r="D8" i="8" l="1"/>
  <c r="C21" i="8"/>
  <c r="C13" i="8"/>
  <c r="E13" i="8" l="1"/>
  <c r="E21" i="8"/>
  <c r="E4" i="23"/>
  <c r="D7" i="8"/>
  <c r="G4" i="23" l="1"/>
  <c r="I4" i="23"/>
  <c r="I71" i="39"/>
  <c r="D24" i="8"/>
  <c r="F8" i="8" s="1"/>
  <c r="G71" i="39"/>
  <c r="N6" i="23"/>
  <c r="N14" i="23"/>
  <c r="O14" i="23" s="1"/>
  <c r="O11" i="23"/>
  <c r="N12" i="23" l="1"/>
  <c r="AB6" i="23"/>
  <c r="F12" i="8"/>
  <c r="F24" i="8"/>
  <c r="F22" i="8"/>
  <c r="F20" i="8"/>
  <c r="F18" i="8"/>
  <c r="F16" i="8"/>
  <c r="F14" i="8"/>
  <c r="E14" i="8"/>
  <c r="F17" i="8"/>
  <c r="F9" i="8"/>
  <c r="F11" i="8"/>
  <c r="F13" i="8"/>
  <c r="F15" i="8"/>
  <c r="F21" i="8"/>
  <c r="F23" i="8"/>
  <c r="F10" i="8"/>
  <c r="F19" i="8"/>
  <c r="C10" i="8" l="1"/>
  <c r="E10" i="8" l="1"/>
  <c r="C9" i="8"/>
  <c r="E9" i="8" l="1"/>
  <c r="C8" i="8"/>
  <c r="E8" i="8" l="1"/>
  <c r="D4" i="23"/>
  <c r="C7" i="8"/>
  <c r="E6" i="23"/>
  <c r="E7" i="8" l="1"/>
  <c r="F4" i="23"/>
  <c r="H4" i="23"/>
  <c r="D6" i="23"/>
  <c r="O6" i="23"/>
  <c r="C24" i="8"/>
  <c r="E8" i="23"/>
  <c r="F7" i="8"/>
  <c r="E24" i="8" l="1"/>
  <c r="D8" i="23"/>
  <c r="H8" i="23" s="1"/>
  <c r="H6" i="23"/>
  <c r="E22" i="23"/>
  <c r="F6" i="23"/>
  <c r="M12" i="23"/>
  <c r="O12" i="23" s="1"/>
  <c r="E20" i="23"/>
  <c r="E16" i="23"/>
  <c r="E12" i="23"/>
  <c r="E24" i="23"/>
  <c r="E14" i="23"/>
  <c r="E18" i="23"/>
  <c r="F18" i="23" s="1"/>
  <c r="D24" i="23" l="1"/>
  <c r="H24" i="23" s="1"/>
  <c r="F8" i="23"/>
  <c r="F22" i="23"/>
  <c r="F20" i="23"/>
  <c r="F16" i="23"/>
  <c r="F14" i="23"/>
  <c r="F12" i="23"/>
  <c r="F24" i="23" l="1"/>
</calcChain>
</file>

<file path=xl/comments1.xml><?xml version="1.0" encoding="utf-8"?>
<comments xmlns="http://schemas.openxmlformats.org/spreadsheetml/2006/main">
  <authors>
    <author>Tania Mara Chaves Daldegan</author>
  </authors>
  <commentList>
    <comment ref="D5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F5" authorId="0">
      <text>
        <r>
          <rPr>
            <b/>
            <sz val="9"/>
            <color indexed="81"/>
            <rFont val="Segoe UI"/>
            <family val="2"/>
          </rPr>
          <t>Utilizar a informação do Parecer da Reprogramação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10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31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1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38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8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7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47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9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49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54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4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56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63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63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70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70" authorId="0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Fabiana Pereira Siqueira</author>
    <author>Tania Mara Chaves Daldegan</author>
  </authors>
  <commentList>
    <comment ref="A5" authorId="0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5" author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
P.= Projeto não executado                                        A. = Atividade não executada
PE. = Projeto Específico não executado</t>
        </r>
      </text>
    </comment>
    <comment ref="C5" authorId="0">
      <text>
        <r>
          <rPr>
            <b/>
            <sz val="13"/>
            <color indexed="81"/>
            <rFont val="Tahoma"/>
            <family val="2"/>
          </rPr>
          <t>Nome do Projeto ou Atividade do Plano de Ação, conforme o parecer aprovado da Reprogramação 2021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E5" authorId="0">
      <text>
        <r>
          <rPr>
            <b/>
            <sz val="12"/>
            <color indexed="81"/>
            <rFont val="Tahoma"/>
            <family val="2"/>
          </rPr>
          <t>Resultado conforme o previsto no parecer aprovado da Reprogramação do Plano de Ação do Exercício de 2021.</t>
        </r>
      </text>
    </comment>
    <comment ref="F5" authorId="1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Reprogramado  Exercício de 2021, sem transposição.</t>
        </r>
      </text>
    </comment>
    <comment ref="G5" authorId="2">
      <text>
        <r>
          <rPr>
            <b/>
            <sz val="11"/>
            <color indexed="81"/>
            <rFont val="Segoe UI"/>
            <family val="2"/>
          </rPr>
          <t xml:space="preserve">Retirar do SISCONT. NET, no caminho: "Centro de Custos&gt; Relatórios&gt; Demonstrativo de empenhos/pagamentos- período de: 01/01/2021 até 31/12/2021 na coluna do ORÇADO.
</t>
        </r>
      </text>
    </comment>
    <comment ref="H5" authorId="1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01/01/2021 até 31/12/2021 na coluna do EMPENHOS.</t>
        </r>
      </text>
    </comment>
    <comment ref="K5" authorId="0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L5" author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
P.= Projeto não executado                                        A. = Atividade não executada
PE. = Projeto Específico não executado</t>
        </r>
      </text>
    </comment>
    <comment ref="M5" authorId="0">
      <text>
        <r>
          <rPr>
            <b/>
            <sz val="13"/>
            <color indexed="81"/>
            <rFont val="Tahoma"/>
            <family val="2"/>
          </rPr>
          <t>Nome do Projeto ou Atividade do Plano de Ação, conforme o parecer aprovado da Reprogramação 2021</t>
        </r>
      </text>
    </comment>
    <comment ref="N5" authorId="0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O5" authorId="0">
      <text>
        <r>
          <rPr>
            <b/>
            <sz val="12"/>
            <color indexed="81"/>
            <rFont val="Tahoma"/>
            <family val="2"/>
          </rPr>
          <t>Resultado conforme o previsto no parecer aprovado da Reprogramação do Plano de Ação do Exercício de 2021.</t>
        </r>
      </text>
    </comment>
    <comment ref="P5" authorId="1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Reprogramado  Exercício de 2021, sem transposição.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Fabiana Pereira Siqueira</author>
  </authors>
  <commentList>
    <comment ref="C4" authorId="0">
      <text>
        <r>
          <rPr>
            <b/>
            <sz val="12"/>
            <color indexed="81"/>
            <rFont val="Calibri Light"/>
            <family val="2"/>
            <scheme val="major"/>
          </rPr>
          <t>usar o último valor APROVADO no parecer da Reprogramação do Plano de Ação do Exercício de 2021, sem transposição.</t>
        </r>
      </text>
    </comment>
    <comment ref="D4" authorId="1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01/01/2021 até 31/12/2021; na coluna das RECEITAS REALIZADAS.</t>
        </r>
      </text>
    </comment>
    <comment ref="G4" authorId="0">
      <text>
        <r>
          <rPr>
            <b/>
            <sz val="12"/>
            <color indexed="81"/>
            <rFont val="Calibri Light"/>
            <family val="2"/>
            <scheme val="major"/>
          </rPr>
          <t>usar o último valor APROVADO no parecer da Reprogramação do Plano de Ação do Exercício de 2021, sem transposição.</t>
        </r>
      </text>
    </comment>
  </commentList>
</comments>
</file>

<file path=xl/comments4.xml><?xml version="1.0" encoding="utf-8"?>
<comments xmlns="http://schemas.openxmlformats.org/spreadsheetml/2006/main">
  <authors>
    <author>Fabiana Pereira Siqueira</author>
    <author>Gustavo Milhomem Brito Menezes</author>
    <author>Marcos Cristino</author>
    <author>Tania Mara Chaves Daldegan</author>
    <author>Fabiana ...</author>
  </authors>
  <commentList>
    <comment ref="D3" author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E3" authorId="0">
      <text>
        <r>
          <rPr>
            <b/>
            <sz val="12"/>
            <color indexed="81"/>
            <rFont val="Calibri"/>
            <family val="2"/>
            <scheme val="minor"/>
          </rPr>
          <t>RECEITAS : retirar do SISCONT. NET, no caminho:  "Contabilidade&gt; Relatórios&gt; Balanço Orçamentário"; período de 01/01/2021 até 31/12/2021; na coluna das RECEITAS REALIZADAS 
Fundo de Apoio (FA): Retirar do SISCONT. NET, no caminho: "Centro de Custos&gt; Relatórios&gt; Demonstrativo de empenhos/pagamentos- período de: 01/01/2021 até 31/12/2021 na coluna do EMPENHOS.</t>
        </r>
      </text>
    </comment>
    <comment ref="H3" author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M3" author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N3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DESPESAS: Retirar do SISCONT. NET,  Balanço Orçamentário ou do Relatório de Despesas Pagas: 01/01/2021 até 31/12/2021 na coluna do EMPENHOS.
RECEITAS : retirar do SISCONT. NET, no caminho:  "Contabilidade&gt; Relatórios&gt; Balanço Orçamentário"; período de 01/01/2021 até 31/12/2021; na coluna das RECEITAS REALIZADAS </t>
        </r>
      </text>
    </comment>
    <comment ref="P3" author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B4" authorId="1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2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D10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da Reprogramação do Plano de Ação do Exercício de 2021, sem transposição.
</t>
        </r>
      </text>
    </comment>
    <comment ref="E10" author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01/01/2021 até 31/12/2021; na coluna do EMPENHOS.</t>
        </r>
      </text>
    </comment>
    <comment ref="H10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da Reprogramação do Plano de Ação do Exercício de 2021, sem transposição.
</t>
        </r>
      </text>
    </comment>
    <comment ref="M10" author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N10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
 : Retirar do SISCONT. NET, no caminho: "Centro de Custos&gt; Relatórios&gt; Demonstrativo de empenhos/pagamentos- período de: 01/01/2021 até 31/12/2021 na coluna do EMPENHOS.
</t>
        </r>
      </text>
    </comment>
    <comment ref="P10" author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F11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1" authorId="4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2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3" authorId="4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4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3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3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Marcos Cristino</author>
  </authors>
  <commentList>
    <comment ref="AK15" authorId="0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<sst xmlns="http://schemas.openxmlformats.org/spreadsheetml/2006/main" count="1443" uniqueCount="805">
  <si>
    <t>Imobilizado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</si>
  <si>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</si>
  <si>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</si>
  <si>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</si>
  <si>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</si>
  <si>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</si>
  <si>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</si>
  <si>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</si>
  <si>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</si>
  <si>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</si>
  <si>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</si>
  <si>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</si>
  <si>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</si>
  <si>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</si>
  <si>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</si>
  <si>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</si>
  <si>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</si>
  <si>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</si>
  <si>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</si>
  <si>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</si>
  <si>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</si>
  <si>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</si>
  <si>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</si>
  <si>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</si>
  <si>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</si>
  <si>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</si>
  <si>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</si>
  <si>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</si>
  <si>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Objetivo Estratégico Principal</t>
  </si>
  <si>
    <t>Material de Consumo</t>
  </si>
  <si>
    <t>Encargos Diversos</t>
  </si>
  <si>
    <t>Diárias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</si>
  <si>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</si>
  <si>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</si>
  <si>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</si>
  <si>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</si>
  <si>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</si>
  <si>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</si>
  <si>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LIMITES</t>
  </si>
  <si>
    <t xml:space="preserve">Fórmula </t>
  </si>
  <si>
    <t>B- INDICADORES DE RESULTADO</t>
  </si>
  <si>
    <t>A- INDICADORES INSTITUCIONAIS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</si>
  <si>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</si>
  <si>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</si>
  <si>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</si>
  <si>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</si>
  <si>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</si>
  <si>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</si>
  <si>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</si>
  <si>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1.1.3 RRT</t>
  </si>
  <si>
    <t xml:space="preserve">BASE DE CÁLCULO </t>
  </si>
  <si>
    <t>5.  Receita da Arrecadação Líquida (RAL = 3 - 4)</t>
  </si>
  <si>
    <t>1.1.1.1.2 Anuidade Exercícios anteriores</t>
  </si>
  <si>
    <t>1.1.1.2.2 Anuidade Exercícios anteriores</t>
  </si>
  <si>
    <t>1.1 Receitas de Arrecadação Total</t>
  </si>
  <si>
    <t>x 100</t>
  </si>
  <si>
    <t>número de usuários satisfeitos com a solução da demanda</t>
  </si>
  <si>
    <t>número de usuários que responderam a pesquisa</t>
  </si>
  <si>
    <t>passivo circulante</t>
  </si>
  <si>
    <t>total de profissionais ativos</t>
  </si>
  <si>
    <t>total de empresas inadimplentes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</si>
  <si>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</si>
  <si>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</si>
  <si>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</si>
  <si>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</si>
  <si>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</si>
  <si>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</si>
  <si>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</si>
  <si>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</si>
  <si>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</si>
  <si>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</si>
  <si>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</si>
  <si>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</si>
  <si>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</si>
  <si>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</si>
  <si>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</si>
  <si>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</si>
  <si>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</si>
  <si>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</si>
  <si>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</si>
  <si>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</si>
  <si>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</si>
  <si>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</si>
  <si>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</si>
  <si>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</si>
  <si>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</si>
  <si>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</si>
  <si>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</si>
  <si>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</si>
  <si>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</si>
  <si>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</si>
  <si>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</si>
  <si>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</si>
  <si>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</si>
  <si>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</si>
  <si>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</si>
  <si>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</si>
  <si>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</si>
  <si>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</si>
  <si>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</si>
  <si>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</si>
  <si>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</si>
  <si>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</si>
  <si>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</si>
  <si>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</si>
  <si>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</si>
  <si>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</si>
  <si>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</si>
  <si>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</si>
  <si>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</si>
  <si>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</si>
  <si>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RRT mínima</t>
  </si>
  <si>
    <t>ativo circulante</t>
  </si>
  <si>
    <t>total de profissionais inadimplentes</t>
  </si>
  <si>
    <t>número de processos éticos concluídos em um ano</t>
  </si>
  <si>
    <t>1.1.4 Taxas e Multas</t>
  </si>
  <si>
    <t xml:space="preserve">1. Receita de Arrecadação Total 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</si>
  <si>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</si>
  <si>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</si>
  <si>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</si>
  <si>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</si>
  <si>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</si>
  <si>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</si>
  <si>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</si>
  <si>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</si>
  <si>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</si>
  <si>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</si>
  <si>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</si>
  <si>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</si>
  <si>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</si>
  <si>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</si>
  <si>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</si>
  <si>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</si>
  <si>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</si>
  <si>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</si>
  <si>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</si>
  <si>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</si>
  <si>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</si>
  <si>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</si>
  <si>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</si>
  <si>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</si>
  <si>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</si>
  <si>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</si>
  <si>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</si>
  <si>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</si>
  <si>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</si>
  <si>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</si>
  <si>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</si>
  <si>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</si>
  <si>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</si>
  <si>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</si>
  <si>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</si>
  <si>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</si>
  <si>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</si>
  <si>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</si>
  <si>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</si>
  <si>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</si>
  <si>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</si>
  <si>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</si>
  <si>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</si>
  <si>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 xml:space="preserve">total de empresas ativas </t>
  </si>
  <si>
    <t>COMENTÁRIOS/JUSTIFICATIVAS:</t>
  </si>
  <si>
    <t>1.1.1.1.1 Anuidade do Exercício 2022</t>
  </si>
  <si>
    <t>1.1.1.2.1 Anuidade do Exercício 2022</t>
  </si>
  <si>
    <t>Reprogramação
 2021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</si>
  <si>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</si>
  <si>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</si>
  <si>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</si>
  <si>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</si>
  <si>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</si>
  <si>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</si>
  <si>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</si>
  <si>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</si>
  <si>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</si>
  <si>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</si>
  <si>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</si>
  <si>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</si>
  <si>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</si>
  <si>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</si>
  <si>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</si>
  <si>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</si>
  <si>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</si>
  <si>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</si>
  <si>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</si>
  <si>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</si>
  <si>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</si>
  <si>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</si>
  <si>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</si>
  <si>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</si>
  <si>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</si>
  <si>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</si>
  <si>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</si>
  <si>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</si>
  <si>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</si>
  <si>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</si>
  <si>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</si>
  <si>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</si>
  <si>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</si>
  <si>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</si>
  <si>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</si>
  <si>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</si>
  <si>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</si>
  <si>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t>LEGENDA: P = PROJETO/ A = ATIVIDADE/ PE = PROJETO ESPECÍFICO / FA = FUNDO DE APOIO</t>
  </si>
  <si>
    <t>P</t>
  </si>
  <si>
    <t>A</t>
  </si>
  <si>
    <t>PE</t>
  </si>
  <si>
    <t>P.</t>
  </si>
  <si>
    <t>A.</t>
  </si>
  <si>
    <t>PE.</t>
  </si>
  <si>
    <t>2. Receitas de Capital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</si>
  <si>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</si>
  <si>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</si>
  <si>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</si>
  <si>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</si>
  <si>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</si>
  <si>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</si>
  <si>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</si>
  <si>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</si>
  <si>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</si>
  <si>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</si>
  <si>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</si>
  <si>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</si>
  <si>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</si>
  <si>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</si>
  <si>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</si>
  <si>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</si>
  <si>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</si>
  <si>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</si>
  <si>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</si>
  <si>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</si>
  <si>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</si>
  <si>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</si>
  <si>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</si>
  <si>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</si>
  <si>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</si>
  <si>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</si>
  <si>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</si>
  <si>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</si>
  <si>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</si>
  <si>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</si>
  <si>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</si>
  <si>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</si>
  <si>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</si>
  <si>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</si>
  <si>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</si>
  <si>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</si>
  <si>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</si>
  <si>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</si>
  <si>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</si>
  <si>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</si>
  <si>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</si>
  <si>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</si>
  <si>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</si>
  <si>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</si>
  <si>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</si>
  <si>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</si>
  <si>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</si>
  <si>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</si>
  <si>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</si>
  <si>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</si>
  <si>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</si>
  <si>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</si>
  <si>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</si>
  <si>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</si>
  <si>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</si>
  <si>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</si>
  <si>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</si>
  <si>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</si>
  <si>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</si>
  <si>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</si>
  <si>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</si>
  <si>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</si>
  <si>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</si>
  <si>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</si>
  <si>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</si>
  <si>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</si>
  <si>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</si>
  <si>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</si>
  <si>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</si>
  <si>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</si>
  <si>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</si>
  <si>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</si>
  <si>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</si>
  <si>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</si>
  <si>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</si>
  <si>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</si>
  <si>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</si>
  <si>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</si>
  <si>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</si>
  <si>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</si>
  <si>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</si>
  <si>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</si>
  <si>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</si>
  <si>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</si>
  <si>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</si>
  <si>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</si>
  <si>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</si>
  <si>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</si>
  <si>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</si>
  <si>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</si>
  <si>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</si>
  <si>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</si>
  <si>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</si>
  <si>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</si>
  <si>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</si>
  <si>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 xml:space="preserve">Part. %
 (E)           </t>
  </si>
  <si>
    <t>A - FONTES</t>
  </si>
  <si>
    <t>-</t>
  </si>
  <si>
    <r>
      <t xml:space="preserve">Orientações para preenchimento da </t>
    </r>
    <r>
      <rPr>
        <b/>
        <i/>
        <u/>
        <sz val="11"/>
        <color rgb="FFFF0000"/>
        <rFont val="Calibri"/>
        <family val="2"/>
        <scheme val="minor"/>
      </rPr>
      <t>planilha auxiliar</t>
    </r>
    <r>
      <rPr>
        <b/>
        <i/>
        <sz val="11"/>
        <color theme="1"/>
        <rFont val="Calibri"/>
        <family val="2"/>
        <scheme val="minor"/>
      </rPr>
      <t xml:space="preserve"> do Relatório de Gestão - Exercício 2021</t>
    </r>
  </si>
  <si>
    <r>
      <t>1) O valor da "Programação 2021": usar o último valor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u/>
        <sz val="11"/>
        <color rgb="FFFF0000"/>
        <rFont val="Calibri"/>
        <family val="2"/>
        <scheme val="minor"/>
      </rPr>
      <t>APROVADO</t>
    </r>
    <r>
      <rPr>
        <b/>
        <i/>
        <sz val="11"/>
        <color theme="1"/>
        <rFont val="Calibri"/>
        <family val="2"/>
        <scheme val="minor"/>
      </rPr>
      <t xml:space="preserve"> no parecer do Plano de Ação do Exercício de 2021, sem transposição.</t>
    </r>
  </si>
  <si>
    <r>
      <t xml:space="preserve">2) O valor do "Programação  com Transposição (Orçado) 2021": retirar do SISCONT. NET, no caminho "Centro de Custos&gt; Relatórios&gt; Demonstrativo de empenhos/pagamentos"; período de  01/01/2021 até 31/12/2021; na coluna </t>
    </r>
    <r>
      <rPr>
        <b/>
        <i/>
        <u/>
        <sz val="11"/>
        <color rgb="FFFF0000"/>
        <rFont val="Calibri"/>
        <family val="2"/>
        <scheme val="minor"/>
      </rPr>
      <t>ORÇADO.</t>
    </r>
  </si>
  <si>
    <r>
      <t xml:space="preserve">4) O valor das "Receitas realizadas 2021": retirar do SISCONT. NET, no caminho:  "Contabilidade&gt; Relatórios&gt; Balanço Orçamentário"; período de 01/01/2021 até 31/12/2021; na coluna </t>
    </r>
    <r>
      <rPr>
        <b/>
        <i/>
        <u/>
        <sz val="11"/>
        <color rgb="FFFF0000"/>
        <rFont val="Calibri"/>
        <family val="2"/>
        <scheme val="minor"/>
      </rPr>
      <t>RECEITAS REALIZADAS.</t>
    </r>
  </si>
  <si>
    <t>Meta 2021 - Alcançada</t>
  </si>
  <si>
    <t>Meta Prevista
Reprogramação
2021</t>
  </si>
  <si>
    <t>Meta alcançada  2020</t>
  </si>
  <si>
    <t>Meta alcançada  2019</t>
  </si>
  <si>
    <t>Os resultados podem ser apresentados na forma de tabelas e gráficos dos principais indicadores, contendo as metas atingidas nos últimos exercícios, possibilitando a visualização de suas evoluções ao longo do tempo, além de metas para o próximo exercício.</t>
  </si>
  <si>
    <t>NOTA 1:</t>
  </si>
  <si>
    <t>Efetividade</t>
  </si>
  <si>
    <t>"Não Realizado</t>
  </si>
  <si>
    <t>P/A/PE
P./A./PE.</t>
  </si>
  <si>
    <t>Resultado Previsto</t>
  </si>
  <si>
    <t>Reprogramação 
2021
 (A)</t>
  </si>
  <si>
    <t>Indicadores Institucionais e de Resultado (agrupados por objetivo estratégico) - Relatório de Gestão - Exercício 2021</t>
  </si>
  <si>
    <t>Quadro Geral - Relatório de Gestão - Exercício 2021</t>
  </si>
  <si>
    <t>Demonstrativo das Fontes - Relatório de Gestão - Exercício 2021</t>
  </si>
  <si>
    <t xml:space="preserve"> Limites de Aplicação dos Recursos Estratégicos - Relatório de Gestão - Exercício 2021</t>
  </si>
  <si>
    <t>Receitas Realizadas                    2021                              (B)</t>
  </si>
  <si>
    <t>Execução</t>
  </si>
  <si>
    <t>%       
 (C=B/A)</t>
  </si>
  <si>
    <t>Execução
(%)</t>
  </si>
  <si>
    <t>Executado
2021</t>
  </si>
  <si>
    <t>Reprogramação 
2021</t>
  </si>
  <si>
    <r>
      <rPr>
        <b/>
        <sz val="16"/>
        <color theme="1"/>
        <rFont val="Calibri"/>
        <family val="2"/>
        <scheme val="minor"/>
      </rPr>
      <t>OBS 1: Deverá justificar no caso de</t>
    </r>
    <r>
      <rPr>
        <b/>
        <u/>
        <sz val="16"/>
        <color rgb="FF0070C0"/>
        <rFont val="Calibri"/>
        <family val="2"/>
        <scheme val="minor"/>
      </rPr>
      <t xml:space="preserve"> inobservância</t>
    </r>
    <r>
      <rPr>
        <b/>
        <sz val="16"/>
        <color theme="1"/>
        <rFont val="Calibri"/>
        <family val="2"/>
        <scheme val="minor"/>
      </rPr>
      <t xml:space="preserve"> de aplicação dos percentuais:</t>
    </r>
    <r>
      <rPr>
        <b/>
        <sz val="12"/>
        <color theme="1"/>
        <rFont val="Calibri"/>
        <family val="2"/>
        <scheme val="minor"/>
      </rPr>
      <t xml:space="preserve">
Atendimento - mínimo de 10% da RAL
Fiscalização – mínimo de 15% da RAL
Despesa com pessoal – até 55% das receitas correntes
Comunicação - mínimo de 3% da RAL
Objetivos Locais - mínimo de 6% da RAL
Patrocínios - máximo de 5% da RAL
ATHIS - mínimo de 2% da RAL
Capacitação – mínimo de 2% e máximo de 4% da folha de pagamento</t>
    </r>
  </si>
  <si>
    <t xml:space="preserve">JUSTIFICATIVA - </t>
  </si>
  <si>
    <r>
      <t xml:space="preserve">3) O valor do "Executado 2021": retirar do SISCONT. NET, no caminho "Centro de Custos&gt; Relatórios&gt; Demonstrativo de empenhos/pagamentos"; período de  01/01/2021 até 31/12/2021; na coluna </t>
    </r>
    <r>
      <rPr>
        <b/>
        <i/>
        <u/>
        <sz val="11"/>
        <color rgb="FFFF0000"/>
        <rFont val="Calibri"/>
        <family val="2"/>
        <scheme val="minor"/>
      </rPr>
      <t xml:space="preserve">EMPENHO, </t>
    </r>
    <r>
      <rPr>
        <b/>
        <i/>
        <sz val="11"/>
        <rFont val="Calibri"/>
        <family val="2"/>
        <scheme val="minor"/>
      </rPr>
      <t xml:space="preserve">ou "Contabilidade&gt; Relatórios&gt; Balanço Orçamentário"; período de 01/01/2021 até 31/12/2021; na coluna </t>
    </r>
    <r>
      <rPr>
        <b/>
        <i/>
        <u/>
        <sz val="11"/>
        <color rgb="FFFF0000"/>
        <rFont val="Calibri"/>
        <family val="2"/>
        <scheme val="minor"/>
      </rPr>
      <t>DESPESAS   EMPENHADAS .</t>
    </r>
  </si>
  <si>
    <t xml:space="preserve">NOTA 2: </t>
  </si>
  <si>
    <t>Reprogramação                    2021                                     (A)</t>
  </si>
  <si>
    <t>Reprogramação   com transposição                 2021                                     (B)</t>
  </si>
  <si>
    <t>Executado                        2021                             (C)</t>
  </si>
  <si>
    <t>% 
(E=C/B *100)</t>
  </si>
  <si>
    <t>NOTA 3:</t>
  </si>
  <si>
    <r>
      <t xml:space="preserve">O valor do "Executado 2021": retirar do SISCONT. NET, no caminho "Centro de Custos&gt; Relatórios&gt; Demonstrativo de empenhos/pagamentos"; período de  01/01/2021 até 31/12/2021; na coluna </t>
    </r>
    <r>
      <rPr>
        <b/>
        <i/>
        <u/>
        <sz val="12"/>
        <color rgb="FFFF0000"/>
        <rFont val="Calibri"/>
        <family val="2"/>
        <scheme val="minor"/>
      </rPr>
      <t xml:space="preserve">EMPENHO.
</t>
    </r>
    <r>
      <rPr>
        <sz val="12"/>
        <color theme="1"/>
        <rFont val="Calibri"/>
        <family val="2"/>
        <scheme val="minor"/>
      </rPr>
      <t>SUGESTÃO: Baixar o arquivo do Siscont.NET em EXCEL e incluir como uma nova aba nesta planila Auxiliar.</t>
    </r>
  </si>
  <si>
    <r>
      <t>1. O valor do "Executado 2021-</t>
    </r>
    <r>
      <rPr>
        <b/>
        <sz val="12"/>
        <color theme="1"/>
        <rFont val="Calibri"/>
        <family val="2"/>
        <scheme val="minor"/>
      </rPr>
      <t>DESPESAS</t>
    </r>
    <r>
      <rPr>
        <sz val="12"/>
        <color theme="1"/>
        <rFont val="Calibri"/>
        <family val="2"/>
        <scheme val="minor"/>
      </rPr>
      <t>": retirar do SISCONT. NET, no caminho "Centro de Custos&gt; Relatórios&gt; Demonstrativo de empenhos/pagamentos"; período de  01/01/2021 até 31/12/2021; na coluna EMPENHO, ou "Contabilidade&gt; Relatórios&gt; Balanço Orçamentário"; período de 01/01/2021 até 31/12/2021; na coluna DESPESAS   EMPENHADAS .</t>
    </r>
  </si>
  <si>
    <r>
      <t>2. O valor das "Executado 2021-</t>
    </r>
    <r>
      <rPr>
        <b/>
        <sz val="12"/>
        <color theme="1"/>
        <rFont val="Calibri"/>
        <family val="2"/>
        <scheme val="minor"/>
      </rPr>
      <t>RECEITAS</t>
    </r>
    <r>
      <rPr>
        <sz val="12"/>
        <color theme="1"/>
        <rFont val="Calibri"/>
        <family val="2"/>
        <scheme val="minor"/>
      </rPr>
      <t>": retirar do SISCONT. NET, no caminho:  "Contabilidade&gt; Relatórios&gt; Balanço Orçamentário"; período de 01/01/2021 até 31/12/2021; na coluna RECEITAS REALIZADAS.</t>
    </r>
  </si>
  <si>
    <t>3. Incluir as justificativas da inobservância dos limites não alcançados e a base dos valores das rescisões contratuais, auxílio alimentação, auxílio transporte, plano de saúde e demais benefícios.</t>
  </si>
  <si>
    <t>5) Usar o último arquivo do Parecer da Reprogamação 2021 homologado pelo Plenário do CAU/BR e enviado pela GERPLAN  em  2021.</t>
  </si>
  <si>
    <t>O valor das "Receitas realizadas 2021": retirar do SISCONT. NET, no caminho:  "Contabilidade&gt; Relatórios&gt; Balanço Orçamentário"; período de 01/01/2021 até 31/12/2021; na coluna RECEITAS REALIZADAS.
SUGESTÃO: Baixar o arquivo do Siscont.NET em "EXCEL" e incluir como uma nova aba nesta planilha Auxiliar.</t>
  </si>
  <si>
    <t>1.1.1.1.1 Anuidade do Exercício 2021</t>
  </si>
  <si>
    <t>1.1.1.2.1 Anuidade do Exercício 2021</t>
  </si>
  <si>
    <t>Gerência Geral</t>
  </si>
  <si>
    <t>Gerência de Fiscalização e Atendimento</t>
  </si>
  <si>
    <t xml:space="preserve">Presidência </t>
  </si>
  <si>
    <t>Assessoria de Comunicação e Imprensa</t>
  </si>
  <si>
    <t>Gerência de Tecnologia da Informação</t>
  </si>
  <si>
    <t>Gerência de Administração e Finanças</t>
  </si>
  <si>
    <t>p</t>
  </si>
  <si>
    <t>Funcionamento do CAU/DF</t>
  </si>
  <si>
    <t>Fiscalização 2021</t>
  </si>
  <si>
    <t>Presidência e Representação Institucional</t>
  </si>
  <si>
    <t>Atendimento aos Arquitetos e Urbanistas</t>
  </si>
  <si>
    <t>Comunicação do CAU/DF</t>
  </si>
  <si>
    <t>Capacitação dos Colaboradores do CAU/DF</t>
  </si>
  <si>
    <t>Centro de Serviço Compartilhado - Fiscalização</t>
  </si>
  <si>
    <t>Centro de Serviço Compartilhado - Atendimento</t>
  </si>
  <si>
    <t>Fundo de Apoio CAU/DF</t>
  </si>
  <si>
    <t>Assistência Técnica</t>
  </si>
  <si>
    <t>Patrocinar Eventos de Interesse da Arquitetura e Urbanismo</t>
  </si>
  <si>
    <t>Reserva de Contingência CAU/DF</t>
  </si>
  <si>
    <t>SEDE CAU/DF</t>
  </si>
  <si>
    <t>Geometrizando</t>
  </si>
  <si>
    <t xml:space="preserve">Contribuir pela melhoria das condições de trabalho do CAU/DF, de modo a garantir a continuidade das atividades operacionais. </t>
  </si>
  <si>
    <t>Difundir as ações de fiscalização de modo a garantir melhoria no ambiente profissional.</t>
  </si>
  <si>
    <t>Assessorar à Presidência e ampliar a representatividade do CAU/DF junto as estruturas de Estado Local.</t>
  </si>
  <si>
    <t>Contribuir para melhoria do atendimento aos profissionais da arquitetura e urbanismo e sociedades.</t>
  </si>
  <si>
    <t>Ampliar a visibilidade e identificação visual do CAU/DF tanto a partir da confecção de materiais quanto pela participação ativa do conselho em eventos, plenárias e reuniões.</t>
  </si>
  <si>
    <t>Desenvolver as habilidades do quadro funcional do CAU/DF.</t>
  </si>
  <si>
    <t>Cumprimento da Resolução n° 157/2017 do CAU/BR.</t>
  </si>
  <si>
    <t>Cumprimento da Resolução n° 119</t>
  </si>
  <si>
    <t>Contribuir para a Melhoria da mentalidade social com relação a ocupação dos espaços urbanos.</t>
  </si>
  <si>
    <t>Ampliar o alcance das ações educativas relacionadas a Arquitetura e Urbanismo, a partir da cooperação entre as diversas entidades da sociedade civil.</t>
  </si>
  <si>
    <t>Atender com obrigações financeiras de carácter atípicas e intempestivas</t>
  </si>
  <si>
    <t xml:space="preserve">Garantir a estrutura física para atendimento e funcionamento do CAU/DF. </t>
  </si>
  <si>
    <t>Preservar a memória do conhecimento Artístico, Científico e Tecnológico dentro da Arquitetura e Urbanismo.</t>
  </si>
  <si>
    <t xml:space="preserve"> Vale Transporte: R$ 169,40</t>
  </si>
  <si>
    <t>Não Utilizado</t>
  </si>
  <si>
    <t>Total</t>
  </si>
  <si>
    <t/>
  </si>
  <si>
    <t>4.02.05.003</t>
  </si>
  <si>
    <t>Centro de Serviço Compartilhado Fiscalização</t>
  </si>
  <si>
    <t>4.02.05.002</t>
  </si>
  <si>
    <t xml:space="preserve"> ASSESSORIA DE INFORMÁTICA</t>
  </si>
  <si>
    <t>4.02.05</t>
  </si>
  <si>
    <t>Atividade - Reserva de Contingência CAU/DF</t>
  </si>
  <si>
    <t>4.02.04.002</t>
  </si>
  <si>
    <t>Atividade - Fundo de Apoio CAU</t>
  </si>
  <si>
    <t>4.02.04.001</t>
  </si>
  <si>
    <t xml:space="preserve"> GERÊNCIA FINANCEIRA E CONTABILIDADE</t>
  </si>
  <si>
    <t>4.02.04</t>
  </si>
  <si>
    <t>Projeto Específico - Geometrizando</t>
  </si>
  <si>
    <t>4.02.03.015</t>
  </si>
  <si>
    <t>4.02.03.013</t>
  </si>
  <si>
    <t>Projeto - Nova SEDE CAU/DF</t>
  </si>
  <si>
    <t>4.02.03.012</t>
  </si>
  <si>
    <t>Projeto - Assistência Técnica CAU/DF</t>
  </si>
  <si>
    <t>4.02.03.011</t>
  </si>
  <si>
    <t>Projeto - Capacitação Conselheiros/Colaboradores do CAU/DF</t>
  </si>
  <si>
    <t>4.02.03.008</t>
  </si>
  <si>
    <t>Projeto - Patrocinar Eventos das Entidades</t>
  </si>
  <si>
    <t>4.02.03.006</t>
  </si>
  <si>
    <t>Atividade - Funcionamento CAU/DF</t>
  </si>
  <si>
    <t>4.02.03.004</t>
  </si>
  <si>
    <t xml:space="preserve"> GERÊNCIA GERAL</t>
  </si>
  <si>
    <t>4.02.03</t>
  </si>
  <si>
    <t>Projeto - Fiscalização CAU/DF</t>
  </si>
  <si>
    <t>4.02.02.010</t>
  </si>
  <si>
    <t>Projeto - Atendimento aos Arquitetos e Urbanistas</t>
  </si>
  <si>
    <t>4.02.02.004</t>
  </si>
  <si>
    <t xml:space="preserve"> GERÊNCIA TÉCNICA</t>
  </si>
  <si>
    <t>4.02.02</t>
  </si>
  <si>
    <t xml:space="preserve"> GABINETE DE GERÊNCIA GERAL</t>
  </si>
  <si>
    <t>4.02</t>
  </si>
  <si>
    <t>Projeto - Comunicação CAU/DF</t>
  </si>
  <si>
    <t>4.01.04.003</t>
  </si>
  <si>
    <t xml:space="preserve"> ASSESSORIA DE COMUNICAÇÃO</t>
  </si>
  <si>
    <t>4.01.04</t>
  </si>
  <si>
    <t xml:space="preserve"> GABINETE DA PRESIDÊNCIA</t>
  </si>
  <si>
    <t>4.01</t>
  </si>
  <si>
    <t xml:space="preserve"> UNIDADES OPERACIONAIS</t>
  </si>
  <si>
    <t>4</t>
  </si>
  <si>
    <t>SaldoAPagar</t>
  </si>
  <si>
    <t>SaldoALiquidar</t>
  </si>
  <si>
    <t>SaldoOrcamentario</t>
  </si>
  <si>
    <t>PagoExercicio</t>
  </si>
  <si>
    <t>PagoPeriodo</t>
  </si>
  <si>
    <t>LiquidadoExercicio</t>
  </si>
  <si>
    <t>LiquidadoPeriodo</t>
  </si>
  <si>
    <t>EmpenhadoExercicio</t>
  </si>
  <si>
    <t>EmpenhadoPeriodo</t>
  </si>
  <si>
    <t>PreEmpenhado</t>
  </si>
  <si>
    <t>Orcado</t>
  </si>
  <si>
    <t>CentroNome</t>
  </si>
  <si>
    <t>CentroCodigo</t>
  </si>
  <si>
    <t>SUPERÁVIT</t>
  </si>
  <si>
    <t>SUB-TOTAL DAS DESPESAS</t>
  </si>
  <si>
    <t>RESERVA DE CONTINGÊNCIA</t>
  </si>
  <si>
    <t>DOTAÇÃO ADICIONAL POR FONTE</t>
  </si>
  <si>
    <t xml:space="preserve">Sistemas de Processamento de Dados </t>
  </si>
  <si>
    <t xml:space="preserve">Equipamentos de Processamento de Dados </t>
  </si>
  <si>
    <t xml:space="preserve">Máquinas e Equipamentos </t>
  </si>
  <si>
    <t xml:space="preserve">EQUIPAMENTOS E MATERIAIS PERMANENTES </t>
  </si>
  <si>
    <t xml:space="preserve">Reformas </t>
  </si>
  <si>
    <t xml:space="preserve">OBRAS, INSTALAÇÕES E REFORMAS </t>
  </si>
  <si>
    <t>INVESTIMENTOS</t>
  </si>
  <si>
    <t>CRÉDITO DISPONÍVEL DESPESA DE CAPITAL</t>
  </si>
  <si>
    <t>Centro de Serviços Compartilhados - CSC</t>
  </si>
  <si>
    <t>CENTRO DE SERVIÇOS COMPARTILHADOS - CSC</t>
  </si>
  <si>
    <t>Convênios, Acordos e Ajuda a Entidades</t>
  </si>
  <si>
    <t>CONVÊNIOS, CONTRATOS E PATROCÍNIO</t>
  </si>
  <si>
    <t>Fundo Nacional de Apoio aos CAU UF</t>
  </si>
  <si>
    <t>FUNDO DE APOIO AO CAU-UF</t>
  </si>
  <si>
    <t>TRANSFERÊNCIAS CORRENTES</t>
  </si>
  <si>
    <t>Taxas Bancárias</t>
  </si>
  <si>
    <t>Impostos e Taxas</t>
  </si>
  <si>
    <t xml:space="preserve">Indenizações e Restituições </t>
  </si>
  <si>
    <t>Despesas Judiciais</t>
  </si>
  <si>
    <t>ENCARGOS DIVERSOS</t>
  </si>
  <si>
    <t>Passagens - Funcionários</t>
  </si>
  <si>
    <t>Passagens - Conselheiros/Convidados</t>
  </si>
  <si>
    <t>PASSAGENS</t>
  </si>
  <si>
    <t>Outras Despesas</t>
  </si>
  <si>
    <t>Despesas Miúdas de Pronto Pagamento</t>
  </si>
  <si>
    <t>Serviços de Transporte</t>
  </si>
  <si>
    <t>Despesas com Telecomunicações</t>
  </si>
  <si>
    <t>Serviços Gráficos</t>
  </si>
  <si>
    <t>Aquisição de Sistemas/Programas (software)</t>
  </si>
  <si>
    <t>Serviços de Correios e Telégrafos</t>
  </si>
  <si>
    <t>Serviços de Energia Elétrica e Gás</t>
  </si>
  <si>
    <t>Manutenção e Conservação de Veículos</t>
  </si>
  <si>
    <t>Serviços de Reparos, Adapt. e Conserv de Bens Móveis e Imóveis</t>
  </si>
  <si>
    <t xml:space="preserve">Condomínios </t>
  </si>
  <si>
    <t xml:space="preserve">Seguros de Bens Imóveis </t>
  </si>
  <si>
    <t>Seguros de Bens Móveis</t>
  </si>
  <si>
    <t>Serviços de Apoio Administrativo e Operacional</t>
  </si>
  <si>
    <t>Serviços Fotográficos e Vídeos</t>
  </si>
  <si>
    <t>Serviços de Intermediação de Estágios</t>
  </si>
  <si>
    <t>Serviços de Seleção, Trein. e Orient. Profissional</t>
  </si>
  <si>
    <t>Serviços de Medicina do Trabalho</t>
  </si>
  <si>
    <t>SERVIÇOS PRESTADOS</t>
  </si>
  <si>
    <t>Outros Serviços de Comunicação e Divulgação</t>
  </si>
  <si>
    <t>SERVIÇOS DE COMUNICAÇÃO E DIVULGAÇÃO</t>
  </si>
  <si>
    <t>Consultoria Jurídica</t>
  </si>
  <si>
    <t>SERVIÇOS DE CONSULTORIA</t>
  </si>
  <si>
    <t>SERVIÇOS DE TERCEIROS - PESSOA JURÍDICA</t>
  </si>
  <si>
    <t>Diária - Funcionários</t>
  </si>
  <si>
    <t>Diária - Conselheiros/Convidados</t>
  </si>
  <si>
    <t>DIÁRIAS</t>
  </si>
  <si>
    <t xml:space="preserve">INSS - Terceiros </t>
  </si>
  <si>
    <t>Remuneração de Estagiários</t>
  </si>
  <si>
    <t>REMUNERAÇÃO DE SERVIÇOS PESSOAIS</t>
  </si>
  <si>
    <t>SERVIÇOS DE TERCEIROS - PESSOA FÍSICA</t>
  </si>
  <si>
    <t>Combustíveis e Lubrificantes</t>
  </si>
  <si>
    <t>Material de Copa e Cozinha</t>
  </si>
  <si>
    <t>Gêneros Alimentação</t>
  </si>
  <si>
    <t>Material de Informática</t>
  </si>
  <si>
    <t>Material de Expediente</t>
  </si>
  <si>
    <t>MATERIAL DE CONSUMO</t>
  </si>
  <si>
    <t>Auxílio Condutor</t>
  </si>
  <si>
    <t>Programa de Alimentação ao Trabalhador - PAT</t>
  </si>
  <si>
    <t>Vale Transporte</t>
  </si>
  <si>
    <t>BENEFÍCIOS A PESSOAL</t>
  </si>
  <si>
    <t xml:space="preserve">PIS s/ Folha de Pagamento </t>
  </si>
  <si>
    <t>FGTS</t>
  </si>
  <si>
    <t>INSS Patronal</t>
  </si>
  <si>
    <t>ENCARGOS SOCIAIS</t>
  </si>
  <si>
    <t>Abono de Férias</t>
  </si>
  <si>
    <t>1/3 de Férias - CF/88</t>
  </si>
  <si>
    <t>Férias</t>
  </si>
  <si>
    <t>Gratificação de Natal - 13º Salário</t>
  </si>
  <si>
    <t>Gratificação de Função</t>
  </si>
  <si>
    <t>Salários</t>
  </si>
  <si>
    <t>REMUNERAÇÃO PESSOAL</t>
  </si>
  <si>
    <t>PESSOAL E ENCARGOS</t>
  </si>
  <si>
    <t>PESSOAL</t>
  </si>
  <si>
    <t>DESPESA CORRENTE</t>
  </si>
  <si>
    <t>SALDO DOTAÇÃO</t>
  </si>
  <si>
    <t>DESPESAS PAGAS</t>
  </si>
  <si>
    <t>DESPESAS LIQUIDADAS</t>
  </si>
  <si>
    <t>DESPESAS EMPENHADAS</t>
  </si>
  <si>
    <t>DOTAÇÃO ATUALIZADA</t>
  </si>
  <si>
    <t>DOTAÇÃO INICIAL</t>
  </si>
  <si>
    <t>DESPESAS ORÇAMENTÁRIAS</t>
  </si>
  <si>
    <t>DÉFICIT</t>
  </si>
  <si>
    <t>SUB-TOTAL DAS RECEITAS</t>
  </si>
  <si>
    <t>RECURSOS ARRECADADOS EM EXERCÍCIOS ANTERIORES</t>
  </si>
  <si>
    <t>SALDO DE EXERCÍCIOS ANTERIORES (Superávit do Orçamento Corrente)</t>
  </si>
  <si>
    <t>SUPERÁVIT DO EXERCÍCIO CORRENTE</t>
  </si>
  <si>
    <t>OUTRAS RECEITAS DE CAPITAL</t>
  </si>
  <si>
    <t>RECEITA DE CAPITAL</t>
  </si>
  <si>
    <t>Receitas Não Identificadas</t>
  </si>
  <si>
    <t xml:space="preserve">RECEITAS NÃO IDENTIFICADAS </t>
  </si>
  <si>
    <t xml:space="preserve">Restituições </t>
  </si>
  <si>
    <t xml:space="preserve">INDENIZAÇÕES E RESTITUIÇÕES </t>
  </si>
  <si>
    <t>Pessoas Físicas</t>
  </si>
  <si>
    <t xml:space="preserve">MULTAS DE INFRAÇÕES </t>
  </si>
  <si>
    <t>Não Tributária (Multas Disc. Leis 5194/66 e 6496/77)</t>
  </si>
  <si>
    <t>DÍVIDA ATIVA</t>
  </si>
  <si>
    <t>OUTRAS RECEITAS CORRENTES</t>
  </si>
  <si>
    <t>CDB/RDB - Titulos de Renda Fixa</t>
  </si>
  <si>
    <t xml:space="preserve">REMUNERAÇÃO DE DEP. BANC. E APLICAÇÕES FINANCEIRAS </t>
  </si>
  <si>
    <t xml:space="preserve">ATUALIZAÇÃO MONETÁRIA </t>
  </si>
  <si>
    <t>Juros e Multas</t>
  </si>
  <si>
    <t xml:space="preserve">JUROS DE MORA SOBRE ANUIDADES </t>
  </si>
  <si>
    <t xml:space="preserve">FINANCEIRAS </t>
  </si>
  <si>
    <t>Outras Receitas Correntes</t>
  </si>
  <si>
    <t xml:space="preserve">Direitos Autorais </t>
  </si>
  <si>
    <t>RECEITAS DIVERSAS DE SERVIÇOS</t>
  </si>
  <si>
    <t xml:space="preserve">Pessoa Jurídica - RRT </t>
  </si>
  <si>
    <t xml:space="preserve">EMOLUMENTOS COM REGISTRO DE RESPONSABILIDADE TÉCNICA - RRT </t>
  </si>
  <si>
    <t>Pessoa Física</t>
  </si>
  <si>
    <t xml:space="preserve">EMOLUMENTOS COM EXPEDIÇÕES DE CERTIDÕES </t>
  </si>
  <si>
    <t xml:space="preserve">EMOLUMENTOS COM INSCRIÇÕES </t>
  </si>
  <si>
    <t>RECEITA DE SERVIÇOS</t>
  </si>
  <si>
    <t>Pessoa jurídica - Dívida ativa</t>
  </si>
  <si>
    <t>Pessoa Física - Dívida ativa</t>
  </si>
  <si>
    <t>Pessoa Jurídica - do Exercício Anterior</t>
  </si>
  <si>
    <t>Pessoa Jurídica - do Exercicio</t>
  </si>
  <si>
    <t xml:space="preserve">Pessoa Física - do Exercício Anterior  </t>
  </si>
  <si>
    <t xml:space="preserve">Pessoa Física - do Exercício </t>
  </si>
  <si>
    <t>ANUIDADES</t>
  </si>
  <si>
    <t>RECEITA DE CONTRIBUIÇÕES</t>
  </si>
  <si>
    <t>RECEITAS DE CONTRIBUICOES</t>
  </si>
  <si>
    <t xml:space="preserve">RECEITA CORRENTE </t>
  </si>
  <si>
    <t>SALDO</t>
  </si>
  <si>
    <t>RECEITAS REALIZADAS</t>
  </si>
  <si>
    <t>PREVISÃO ATUALIZADA</t>
  </si>
  <si>
    <t>PREVISÃO INICIAL</t>
  </si>
  <si>
    <t>RECEITAS ORÇAMENTÁRIAS</t>
  </si>
  <si>
    <t>"Parcialmente Concluído"</t>
  </si>
  <si>
    <t>"Concluído"</t>
  </si>
  <si>
    <t>CAU/UF:  DF</t>
  </si>
  <si>
    <t xml:space="preserve"> Valor total das rescisões contratuais: R$ 5.655,34</t>
  </si>
  <si>
    <t xml:space="preserve"> Auxílio Alimentação (PAT): R$ 242.861,77</t>
  </si>
  <si>
    <t xml:space="preserve"> Auxílio Condutor: R$ 2.140,66</t>
  </si>
  <si>
    <t>Justificativa ATHIS: No período a Receita Arrecadada Líquida ficou bem acima da projeção (+7,10%) e isso impactou no limite mínimo executado. No entanto,  todos as ações e projetos planejados foram executados.</t>
  </si>
  <si>
    <t>CAU - DF</t>
  </si>
  <si>
    <t>Conselho de Arquitetura e Urbanismo do Distrito Federal</t>
  </si>
  <si>
    <t>CNPJ: 14.981.648/0001-09</t>
  </si>
  <si>
    <t>Período: 01/01/2021 a 31/12/2021</t>
  </si>
  <si>
    <t>Demonstrativo de Empenhos e Pagamentos</t>
  </si>
  <si>
    <t>Todos os centros de custos</t>
  </si>
  <si>
    <t>EMPENHOS</t>
  </si>
  <si>
    <t>LIQUIDAÇÕES</t>
  </si>
  <si>
    <t>PAGAMENTOS</t>
  </si>
  <si>
    <t>SALDOS</t>
  </si>
  <si>
    <t>Centro de Custo</t>
  </si>
  <si>
    <t>Orçado</t>
  </si>
  <si>
    <t>Período</t>
  </si>
  <si>
    <t>Orçamento</t>
  </si>
  <si>
    <t>A Liquidar</t>
  </si>
  <si>
    <t>A Pagar</t>
  </si>
  <si>
    <t>reprogramação com tansposição = orçado</t>
  </si>
  <si>
    <t>empenho periodo = execução</t>
  </si>
  <si>
    <t>Impresso em: 19/04/2022 11:11</t>
  </si>
  <si>
    <t>Página:1/1</t>
  </si>
  <si>
    <t>Balanço Orçamentário</t>
  </si>
  <si>
    <t xml:space="preserve"> </t>
  </si>
  <si>
    <t xml:space="preserve">taxas </t>
  </si>
  <si>
    <t>DESPESAS   ORÇAMENTÁRIAS</t>
  </si>
  <si>
    <t>DOTAÇÃO   INICIAL</t>
  </si>
  <si>
    <t>DOTAÇÃO   ATUALIZADA</t>
  </si>
  <si>
    <t>DESPESAS   EMPENHADAS</t>
  </si>
  <si>
    <t>DESPESAS  LIQUIDADAS</t>
  </si>
  <si>
    <t>DESPESAS    PAGAS</t>
  </si>
  <si>
    <t>SALDO     DOTAÇÃO</t>
  </si>
  <si>
    <t>Impresso em: 19/04/2022 11:21</t>
  </si>
  <si>
    <t>Evite imprimir. Colabore com o meio ambiente.</t>
  </si>
  <si>
    <t>Aba Receita</t>
  </si>
  <si>
    <t>ok</t>
  </si>
  <si>
    <t>DESPESAS - ORÇADAS</t>
  </si>
  <si>
    <t>EMPENHO - PERÍODO</t>
  </si>
  <si>
    <t>ORIENTAÇÕES GERPLAN (Sugiro rever as células sinalizadas em amarelo, conforme orientações abaixo)</t>
  </si>
  <si>
    <t>AU</t>
  </si>
  <si>
    <t>População estimada</t>
  </si>
  <si>
    <t>rrt mínimo</t>
  </si>
  <si>
    <t>rrt social</t>
  </si>
  <si>
    <t>Comparativo da Receita</t>
  </si>
  <si>
    <t>Receita</t>
  </si>
  <si>
    <t>Arrec. Periodo</t>
  </si>
  <si>
    <t>Arrec. Exerc.</t>
  </si>
  <si>
    <t>Diferença</t>
  </si>
  <si>
    <t>RECEITA REALIZADA</t>
  </si>
  <si>
    <t xml:space="preserve">COTA PARTE </t>
  </si>
  <si>
    <t>Conselho Regional AC</t>
  </si>
  <si>
    <t>Conselho Regional AL</t>
  </si>
  <si>
    <t>Conselho Regional AM</t>
  </si>
  <si>
    <t>Conselho Regional AP</t>
  </si>
  <si>
    <t>Conselho Regional BA</t>
  </si>
  <si>
    <t>Conselho Regional CE</t>
  </si>
  <si>
    <t>Conselho Regional DF</t>
  </si>
  <si>
    <t>Conselho Regional ES</t>
  </si>
  <si>
    <t>Conselho Regional GO</t>
  </si>
  <si>
    <t>Conselho Regional MA</t>
  </si>
  <si>
    <t>Conselho Regional MG</t>
  </si>
  <si>
    <t>Conselho Regional MS</t>
  </si>
  <si>
    <t>Conselho Regional MT</t>
  </si>
  <si>
    <t>Conselho Regional PA</t>
  </si>
  <si>
    <t>Conselho Regional PB</t>
  </si>
  <si>
    <t>Conselho Regional PE</t>
  </si>
  <si>
    <t>Conselho Regional PI</t>
  </si>
  <si>
    <t>Conselho Regional PR</t>
  </si>
  <si>
    <t>Conselho Regional RJ</t>
  </si>
  <si>
    <t>Conselho Regional RN</t>
  </si>
  <si>
    <t>Conselho Regional RO</t>
  </si>
  <si>
    <t>Conselho Regional RR</t>
  </si>
  <si>
    <t>Conselho Regional RS</t>
  </si>
  <si>
    <t>Conselho Regional SC</t>
  </si>
  <si>
    <t>Conselho Regional SE</t>
  </si>
  <si>
    <t>Conselho Regional SP</t>
  </si>
  <si>
    <t>Conselho Regional TO</t>
  </si>
  <si>
    <t xml:space="preserve">Conselho não identificado </t>
  </si>
  <si>
    <t>RECEITA PATRIMONIAL</t>
  </si>
  <si>
    <t xml:space="preserve">RECEITAS IMOBILIÁRIAS </t>
  </si>
  <si>
    <t xml:space="preserve">Aluguéis </t>
  </si>
  <si>
    <t xml:space="preserve">DIVIDENDOS </t>
  </si>
  <si>
    <t xml:space="preserve">Dividendos Recebidos </t>
  </si>
  <si>
    <t xml:space="preserve">EMOLUMENTOS COM INSCRIÇOES </t>
  </si>
  <si>
    <t>Pessoa Jurídica</t>
  </si>
  <si>
    <t xml:space="preserve">EMOLUMENTOS COM EXPEDIÇÕES DE CARTEIRAS </t>
  </si>
  <si>
    <t>EMOLUMENTOS COM EXPEDIÇÕES DE CERTIFICADOS</t>
  </si>
  <si>
    <t>EMOLUMENTOS COM REGISTRO DE RESPONSABILIDADE TÉCNICA - RRT</t>
  </si>
  <si>
    <t>Pessoa Física - RRT</t>
  </si>
  <si>
    <t xml:space="preserve">Revistas </t>
  </si>
  <si>
    <t xml:space="preserve">Livros </t>
  </si>
  <si>
    <t xml:space="preserve">Publicações Diversas </t>
  </si>
  <si>
    <t xml:space="preserve">Botons </t>
  </si>
  <si>
    <t>Selo Certificador</t>
  </si>
  <si>
    <t xml:space="preserve">Publicidade </t>
  </si>
  <si>
    <t xml:space="preserve">Custas Processuais </t>
  </si>
  <si>
    <t xml:space="preserve">Inscrições </t>
  </si>
  <si>
    <t xml:space="preserve">Recuperação Com Custos de Cobrança </t>
  </si>
  <si>
    <t xml:space="preserve">Recuperação de Despesas Postais </t>
  </si>
  <si>
    <t xml:space="preserve">Fotocópias </t>
  </si>
  <si>
    <t>Locação e Administração de Bens Imóveis</t>
  </si>
  <si>
    <t>JUROS E ENCARGOS DE EMPRÉSTIMOS CONCEDIDOS</t>
  </si>
  <si>
    <t xml:space="preserve">Juros Sobre Empréstimos </t>
  </si>
  <si>
    <t xml:space="preserve">Encargos Sobre Empréstimos </t>
  </si>
  <si>
    <t>Pessoas Jurídicas</t>
  </si>
  <si>
    <t xml:space="preserve">Juros de Mora -  Dívida Ativa  </t>
  </si>
  <si>
    <t xml:space="preserve">Multa Mora - Dívida Ativa  </t>
  </si>
  <si>
    <t xml:space="preserve">JUROS DE MORA SOBRE MULTAS DE INFRAÇÕES </t>
  </si>
  <si>
    <t xml:space="preserve">ATUALIZAÇÃO MONETÁRIA SOBRE ANUIDADES </t>
  </si>
  <si>
    <t xml:space="preserve">ATUALIZAÇÃO MONETÁRIA SOBRE MULTAS DE INFRAÇÕES </t>
  </si>
  <si>
    <t xml:space="preserve">MULTAS SOBRE ANUIDADES </t>
  </si>
  <si>
    <t>Títulos do Tesouro Nacional</t>
  </si>
  <si>
    <t xml:space="preserve">Poupança </t>
  </si>
  <si>
    <t>Fundos de Investimentos Lastreados em Títulos do Tesouro Nacional</t>
  </si>
  <si>
    <t>TRANSFERENCIAS CORRENTES</t>
  </si>
  <si>
    <t>Transferencias Intragovernamentais</t>
  </si>
  <si>
    <t>Transferencias Intergovernamentais</t>
  </si>
  <si>
    <t>Transferencias de Inst. Privadas</t>
  </si>
  <si>
    <t>Transferências de Pessoas Físicias</t>
  </si>
  <si>
    <t>Tributária (Anuidades)</t>
  </si>
  <si>
    <t xml:space="preserve">Indenizações </t>
  </si>
  <si>
    <t>OPERAÇÕES DE CREDITO</t>
  </si>
  <si>
    <t xml:space="preserve">EMPRÉSTIMOS TOMADOS </t>
  </si>
  <si>
    <t xml:space="preserve">EMPRÉSTIMOS para Despesas de Custeio </t>
  </si>
  <si>
    <t xml:space="preserve">Empréstimos P/ Aquisição, Constr. e Reforma de Sede </t>
  </si>
  <si>
    <t>ALIENACAO DE BENS</t>
  </si>
  <si>
    <t xml:space="preserve">ALIENAÇÕES DE BENS MÓVEIS </t>
  </si>
  <si>
    <t xml:space="preserve">Móveis e Utensílios de Escritórios </t>
  </si>
  <si>
    <t xml:space="preserve">Instalações </t>
  </si>
  <si>
    <t xml:space="preserve">Utensílios de Copa e Cozinha </t>
  </si>
  <si>
    <t xml:space="preserve">Veículos </t>
  </si>
  <si>
    <t xml:space="preserve">Biblioteca </t>
  </si>
  <si>
    <t xml:space="preserve">Obras de Arte </t>
  </si>
  <si>
    <t xml:space="preserve">ALIENAÇÕES DE BENS IMÓVEIS </t>
  </si>
  <si>
    <t xml:space="preserve">Edifícios </t>
  </si>
  <si>
    <t xml:space="preserve">Terrenos </t>
  </si>
  <si>
    <t xml:space="preserve">Salas </t>
  </si>
  <si>
    <t xml:space="preserve">ALIENAÇÕES DE TÍTULOS E AÇÕES </t>
  </si>
  <si>
    <t xml:space="preserve">Títulos de Renda </t>
  </si>
  <si>
    <t xml:space="preserve">Ações </t>
  </si>
  <si>
    <t>AMORTIZACAO DE EMPRESTIMO</t>
  </si>
  <si>
    <t>Amortizacao de Emprest. a Orgaos de Fisc. de Exerc</t>
  </si>
  <si>
    <t>OUTRAS AMORTIZACOES EMPREST. A ENTIDADES PÚBLICAS</t>
  </si>
  <si>
    <t>EMPRÉSTIMOS para Despesas de Custeio</t>
  </si>
  <si>
    <t>TRANSFERÊNCIAS DE CAPITAL</t>
  </si>
  <si>
    <t>TRANSFERÊNCIAS</t>
  </si>
  <si>
    <t>Auxílio A</t>
  </si>
  <si>
    <t>Total:</t>
  </si>
  <si>
    <t>Impresso em: 20/04/2022 15:50</t>
  </si>
  <si>
    <t>Comparativo da Despesa Empenhada</t>
  </si>
  <si>
    <t>Despesa</t>
  </si>
  <si>
    <t>Realiz. Periodo</t>
  </si>
  <si>
    <t>Realiz. Exerc.</t>
  </si>
  <si>
    <t>CRÉDITO DISPONÍVEL DA DESPESA</t>
  </si>
  <si>
    <t>Hora Extra</t>
  </si>
  <si>
    <t>Indenizações Trabalhistas</t>
  </si>
  <si>
    <t>Cargo em Comissão</t>
  </si>
  <si>
    <t>Plano de Saúde</t>
  </si>
  <si>
    <t>Funcionários</t>
  </si>
  <si>
    <t>Material de Limpeza e Produtos de Higiene</t>
  </si>
  <si>
    <t>Material de Áudio, Vídeo e Foto</t>
  </si>
  <si>
    <t>Materiais Elétricos e de Telefonia</t>
  </si>
  <si>
    <t>Materiais para Manutenção de Bens Móveis</t>
  </si>
  <si>
    <t>Materiais para Manutenção de Bens Imóveis</t>
  </si>
  <si>
    <t>Uniformes, Tecidos e Aviamentos</t>
  </si>
  <si>
    <t>Peças e Acessórios para Veículos</t>
  </si>
  <si>
    <t>Outros Materiais de Consumo</t>
  </si>
  <si>
    <t>Remuneração de Serviços Pessoais</t>
  </si>
  <si>
    <t>Consultoria Contábil</t>
  </si>
  <si>
    <t>Consultoria em Auditoria e Perícia</t>
  </si>
  <si>
    <t>Outras Consultorias</t>
  </si>
  <si>
    <t xml:space="preserve">Divulgação em Jornais e Revistas </t>
  </si>
  <si>
    <t>Divulgação em Rádio e TV</t>
  </si>
  <si>
    <t xml:space="preserve">Revista CAU </t>
  </si>
  <si>
    <t>MANUTENÇÃO SISTEMAS INFORMATIZADOS</t>
  </si>
  <si>
    <t>Sistema ERP - Implanta Informática</t>
  </si>
  <si>
    <t>Siccau</t>
  </si>
  <si>
    <t>Call Center</t>
  </si>
  <si>
    <t xml:space="preserve">Geoprocessamento </t>
  </si>
  <si>
    <t>GED</t>
  </si>
  <si>
    <t>Data Center</t>
  </si>
  <si>
    <t xml:space="preserve">Remuneração de Estagiários </t>
  </si>
  <si>
    <t>Locação de Bens Móveis, Máquinas e Equipamentos</t>
  </si>
  <si>
    <t xml:space="preserve">Locação de Bens Imóveis </t>
  </si>
  <si>
    <t>Serviços de Água e Esgoto</t>
  </si>
  <si>
    <t>Assinaturas e Periódicos</t>
  </si>
  <si>
    <t>Cópias, Encadernações e Microfilmagens</t>
  </si>
  <si>
    <t>Despesas com Concursos</t>
  </si>
  <si>
    <t>Serviços de Segurança Predial e Preventiva</t>
  </si>
  <si>
    <t>Carteiras Profissionais</t>
  </si>
  <si>
    <t xml:space="preserve">Reforma em Bens Imóveis de Terceiros </t>
  </si>
  <si>
    <t>Restituições</t>
  </si>
  <si>
    <t>Outros</t>
  </si>
  <si>
    <t>DESPESAS DE EXERCÍCIOS ANTERIORES</t>
  </si>
  <si>
    <t>Despesas de Exercícios Anteriores</t>
  </si>
  <si>
    <t>Auxílios a Diversos CAU-UF</t>
  </si>
  <si>
    <t>Obras e Instalações em andamento</t>
  </si>
  <si>
    <t xml:space="preserve">TÍTULOS E AÇÕES </t>
  </si>
  <si>
    <t xml:space="preserve">Títulos e Ações </t>
  </si>
  <si>
    <t xml:space="preserve">Móveis e Utensílios </t>
  </si>
  <si>
    <t xml:space="preserve">AQUISIÇÃO DE IMÓVEIS </t>
  </si>
  <si>
    <t xml:space="preserve">INTANGÍVEL </t>
  </si>
  <si>
    <t xml:space="preserve">Marcas e Patentes </t>
  </si>
  <si>
    <t>INVERSÕES FINANCEIRAS</t>
  </si>
  <si>
    <t>AMORTIZAÇÃO DA DÍVIDA</t>
  </si>
  <si>
    <t xml:space="preserve">AMORTIZAÇÕES DE EMPRÉSTIMOS </t>
  </si>
  <si>
    <t xml:space="preserve">Despesas de Custeio </t>
  </si>
  <si>
    <t xml:space="preserve">Aquisição, Reforma e Construção de Sede </t>
  </si>
  <si>
    <t>Amortizações de Empréstimos (Dívida Fundada)</t>
  </si>
  <si>
    <t xml:space="preserve">OUTRAS AMORTIZAÇÕES </t>
  </si>
  <si>
    <t xml:space="preserve">Despesas de Exercícios Anteriores </t>
  </si>
  <si>
    <t>OUTRAS DESPESAS CAPITAL</t>
  </si>
  <si>
    <t>Transferências de Capital A</t>
  </si>
  <si>
    <t>Impresso em: 20/04/2022 15:56</t>
  </si>
  <si>
    <t>1- Sugiro rever as metas alcançadas dos indicadores "Índice de RRT por profissional ativo" e "Índice de RRT por população (1.000 habitantes)", de acordo com os dados do Relatório de Arrecadação do CAU. As sugestões estão sinalizadas em amarelo nas células correspondentes.</t>
  </si>
  <si>
    <t>Ok. De acordo.</t>
  </si>
  <si>
    <t xml:space="preserve"> 1-Por favor, mencionar no campo "COMENTÁRIOS/JUSTIFICATIVAS" sobre os projetos específicos. Houve gasto com pessoal nestes projetos ?  </t>
  </si>
  <si>
    <t xml:space="preserve">Justificativa Capacitação: Em virtude do cenário Pandêmico o CAU/DF ficou limitado em oferecer treinamento/capacitação aos colaboradores, disponibilizando cursos em modo online/remoto, que possuem valores mais acessíveis. </t>
  </si>
  <si>
    <t>Projeto Específico Geomatrizando: Ação 100% relacionada impressão gráfica de obra literária  de preservação a memória do conhecimento Artístico, Científico e Tecnológico dentro da Arquitetura e Urbanismo. Não houve despasas com pessoal.</t>
  </si>
  <si>
    <t>1 - Necessário rever o cálculo do valor executado com os objetivos locais de acordo com a planilha do "Quadro geral" e os objetivos selecionados na Reprogramação aprovada.</t>
  </si>
  <si>
    <t>2 - Necessário incluir o valor que foi utilizado da Reserva de Contingência , ou seja, o valor que foi transferido para suplementar a respectiva iniciativa.</t>
  </si>
  <si>
    <t>3 - Por favor, justificar o não atingimento do limite mínimo em capacitação no campo "JUSTIFICATIVA".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</si>
</sst>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&quot;R$&quot;* #,##0.00_-;\-&quot;R$&quot;* #,##0.00_-;_-&quot;R$&quot;* &quot;-&quot;??_-;_-@_-"/>
    <numFmt numFmtId="174" formatCode="&quot;R$&quot;#,##0.00;\-&quot;R$&quot;#,##0.00"/>
    <numFmt numFmtId="175" formatCode="_-* #,##0.000_-;\-* #,##0.000_-;_-* &quot;-&quot;??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4"/>
      <color indexed="8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rgb="FF212121"/>
      <name val="OpenSansCondensedLight"/>
    </font>
    <font>
      <sz val="11"/>
      <color rgb="FF727272"/>
      <name val="OpenSansCondensedBold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81"/>
      <name val="Segoe UI"/>
      <family val="2"/>
    </font>
    <font>
      <b/>
      <sz val="12"/>
      <color indexed="8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8"/>
      <color rgb="FF434343"/>
      <name val="Tahoma"/>
      <family val="2"/>
    </font>
    <font>
      <sz val="12"/>
      <color rgb="FF434343"/>
      <name val="Tahoma"/>
      <family val="2"/>
    </font>
    <font>
      <sz val="9"/>
      <color rgb="FF000000"/>
      <name val="Times New Roman"/>
      <family val="2"/>
    </font>
    <font>
      <sz val="9"/>
      <color rgb="FF000000"/>
      <name val="Tahoma"/>
      <family val="2"/>
    </font>
    <font>
      <sz val="14"/>
      <color rgb="FF434343"/>
      <name val="Tahoma"/>
      <family val="2"/>
    </font>
    <font>
      <sz val="11"/>
      <color rgb="FF434343"/>
      <name val="Tahoma"/>
      <family val="2"/>
    </font>
    <font>
      <b/>
      <sz val="9"/>
      <color rgb="FFFFFFFF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sz val="8"/>
      <color rgb="FF434343"/>
      <name val="Tahoma"/>
      <family val="2"/>
    </font>
    <font>
      <b/>
      <sz val="8"/>
      <color rgb="FF000000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434343"/>
      <name val="Tahoma"/>
    </font>
    <font>
      <sz val="12"/>
      <color rgb="FF434343"/>
      <name val="Tahoma"/>
    </font>
    <font>
      <b/>
      <sz val="9"/>
      <color rgb="FF000000"/>
      <name val="Tahoma"/>
    </font>
    <font>
      <b/>
      <sz val="6"/>
      <color rgb="FF434343"/>
      <name val="Tahoma"/>
    </font>
    <font>
      <sz val="15"/>
      <color rgb="FF434343"/>
      <name val="Tahoma"/>
    </font>
    <font>
      <b/>
      <sz val="9"/>
      <color rgb="FFFFFFFF"/>
      <name val="Tahoma"/>
    </font>
    <font>
      <sz val="8"/>
      <color rgb="FF434343"/>
      <name val="Tahoma"/>
    </font>
    <font>
      <b/>
      <sz val="8"/>
      <color rgb="FF000000"/>
      <name val="Tahoma"/>
    </font>
    <font>
      <sz val="9"/>
      <color rgb="FF000000"/>
      <name val="Tahoma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E4F0F0"/>
        <bgColor indexed="64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ADE"/>
      </patternFill>
    </fill>
    <fill>
      <patternFill patternType="solid">
        <fgColor theme="0"/>
        <bgColor rgb="FFFFFADE"/>
      </patternFill>
    </fill>
    <fill>
      <patternFill patternType="solid">
        <fgColor rgb="FF4682B4"/>
      </patternFill>
    </fill>
    <fill>
      <patternFill patternType="solid">
        <fgColor rgb="FFEAEAEA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E0E0E0"/>
      </patternFill>
    </fill>
    <fill>
      <patternFill patternType="solid">
        <fgColor rgb="FF92D050"/>
        <bgColor rgb="FFFFFADE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/>
      <bottom/>
      <diagonal/>
    </border>
    <border>
      <left/>
      <right style="thin">
        <color rgb="FFE5E5E5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171" fontId="15" fillId="0" borderId="0" applyBorder="0" applyProtection="0"/>
    <xf numFmtId="173" fontId="1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1" fillId="0" borderId="0"/>
    <xf numFmtId="0" fontId="71" fillId="0" borderId="0" applyNumberFormat="0" applyFill="0" applyBorder="0" applyAlignment="0" applyProtection="0"/>
    <xf numFmtId="0" fontId="72" fillId="0" borderId="69" applyNumberFormat="0" applyFill="0" applyAlignment="0" applyProtection="0"/>
    <xf numFmtId="0" fontId="73" fillId="0" borderId="70" applyNumberFormat="0" applyFill="0" applyAlignment="0" applyProtection="0"/>
    <xf numFmtId="0" fontId="74" fillId="0" borderId="71" applyNumberFormat="0" applyFill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4" borderId="72" applyNumberFormat="0" applyAlignment="0" applyProtection="0"/>
    <xf numFmtId="0" fontId="78" fillId="35" borderId="73" applyNumberFormat="0" applyAlignment="0" applyProtection="0"/>
    <xf numFmtId="0" fontId="79" fillId="35" borderId="72" applyNumberFormat="0" applyAlignment="0" applyProtection="0"/>
    <xf numFmtId="0" fontId="80" fillId="0" borderId="74" applyNumberFormat="0" applyFill="0" applyAlignment="0" applyProtection="0"/>
    <xf numFmtId="0" fontId="21" fillId="36" borderId="75" applyNumberFormat="0" applyAlignment="0" applyProtection="0"/>
    <xf numFmtId="0" fontId="81" fillId="0" borderId="0" applyNumberFormat="0" applyFill="0" applyBorder="0" applyAlignment="0" applyProtection="0"/>
    <xf numFmtId="0" fontId="1" fillId="37" borderId="76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77" applyNumberFormat="0" applyFill="0" applyAlignment="0" applyProtection="0"/>
    <xf numFmtId="0" fontId="1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</cellStyleXfs>
  <cellXfs count="612">
    <xf numFmtId="0" fontId="0" fillId="0" borderId="0" xfId="0"/>
    <xf numFmtId="0" fontId="0" fillId="0" borderId="0" xfId="0"/>
    <xf numFmtId="0" fontId="3" fillId="0" borderId="0" xfId="0" applyFont="1"/>
    <xf numFmtId="0" fontId="23" fillId="2" borderId="0" xfId="0" applyFont="1" applyFill="1"/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2" borderId="1" xfId="2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41" fontId="24" fillId="11" borderId="1" xfId="0" applyNumberFormat="1" applyFont="1" applyFill="1" applyBorder="1" applyAlignment="1" applyProtection="1">
      <alignment horizontal="center" vertical="center" wrapText="1"/>
    </xf>
    <xf numFmtId="165" fontId="24" fillId="11" borderId="1" xfId="0" applyNumberFormat="1" applyFont="1" applyFill="1" applyBorder="1" applyAlignment="1" applyProtection="1">
      <alignment horizontal="center" vertical="center" wrapText="1"/>
    </xf>
    <xf numFmtId="164" fontId="2" fillId="2" borderId="1" xfId="2" applyFont="1" applyFill="1" applyBorder="1" applyAlignment="1" applyProtection="1">
      <alignment vertical="center" wrapText="1"/>
      <protection locked="0"/>
    </xf>
    <xf numFmtId="164" fontId="2" fillId="3" borderId="1" xfId="2" applyNumberFormat="1" applyFont="1" applyFill="1" applyBorder="1" applyAlignment="1" applyProtection="1">
      <alignment horizontal="left" vertical="center" wrapText="1"/>
    </xf>
    <xf numFmtId="169" fontId="2" fillId="3" borderId="1" xfId="2" applyNumberFormat="1" applyFont="1" applyFill="1" applyBorder="1" applyAlignment="1" applyProtection="1">
      <alignment horizontal="left" vertical="center" wrapText="1"/>
    </xf>
    <xf numFmtId="168" fontId="0" fillId="0" borderId="0" xfId="2" applyNumberFormat="1" applyFont="1"/>
    <xf numFmtId="169" fontId="0" fillId="0" borderId="0" xfId="2" applyNumberFormat="1" applyFont="1"/>
    <xf numFmtId="164" fontId="0" fillId="0" borderId="0" xfId="2" applyFont="1" applyFill="1" applyBorder="1"/>
    <xf numFmtId="164" fontId="0" fillId="0" borderId="0" xfId="2" applyFont="1"/>
    <xf numFmtId="164" fontId="13" fillId="0" borderId="0" xfId="2" applyFont="1"/>
    <xf numFmtId="16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43" fontId="0" fillId="0" borderId="0" xfId="0" applyNumberFormat="1"/>
    <xf numFmtId="168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164" fontId="0" fillId="4" borderId="0" xfId="2" applyFont="1" applyFill="1"/>
    <xf numFmtId="0" fontId="21" fillId="14" borderId="35" xfId="0" applyFont="1" applyFill="1" applyBorder="1" applyAlignment="1">
      <alignment horizontal="center" vertical="center"/>
    </xf>
    <xf numFmtId="0" fontId="39" fillId="2" borderId="0" xfId="0" applyFont="1" applyFill="1"/>
    <xf numFmtId="164" fontId="3" fillId="0" borderId="0" xfId="2" applyFont="1" applyAlignment="1">
      <alignment horizontal="center"/>
    </xf>
    <xf numFmtId="168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6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15" borderId="1" xfId="2" applyFont="1" applyFill="1" applyBorder="1" applyAlignment="1" applyProtection="1">
      <alignment horizontal="center" vertical="center"/>
      <protection locked="0"/>
    </xf>
    <xf numFmtId="164" fontId="3" fillId="2" borderId="1" xfId="2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2" applyFont="1" applyFill="1" applyBorder="1" applyAlignment="1" applyProtection="1">
      <alignment horizontal="center" vertical="center" wrapText="1"/>
      <protection locked="0"/>
    </xf>
    <xf numFmtId="164" fontId="3" fillId="3" borderId="1" xfId="2" applyFont="1" applyFill="1" applyBorder="1" applyAlignment="1" applyProtection="1">
      <alignment horizontal="center" vertical="center" wrapText="1"/>
      <protection locked="0"/>
    </xf>
    <xf numFmtId="164" fontId="2" fillId="3" borderId="1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2" fillId="3" borderId="4" xfId="2" applyFont="1" applyFill="1" applyBorder="1" applyAlignment="1">
      <alignment horizontal="center" vertical="center" wrapText="1"/>
    </xf>
    <xf numFmtId="168" fontId="21" fillId="14" borderId="37" xfId="2" applyNumberFormat="1" applyFont="1" applyFill="1" applyBorder="1" applyAlignment="1">
      <alignment horizontal="center" vertical="center" wrapText="1"/>
    </xf>
    <xf numFmtId="169" fontId="21" fillId="14" borderId="35" xfId="2" applyNumberFormat="1" applyFont="1" applyFill="1" applyBorder="1" applyAlignment="1">
      <alignment horizontal="center" vertical="center" wrapText="1"/>
    </xf>
    <xf numFmtId="168" fontId="21" fillId="14" borderId="35" xfId="2" applyNumberFormat="1" applyFont="1" applyFill="1" applyBorder="1" applyAlignment="1">
      <alignment horizontal="center" vertical="center" wrapText="1"/>
    </xf>
    <xf numFmtId="168" fontId="21" fillId="14" borderId="38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164" fontId="21" fillId="14" borderId="39" xfId="2" applyFont="1" applyFill="1" applyBorder="1" applyAlignment="1">
      <alignment horizontal="center" vertical="center" wrapText="1"/>
    </xf>
    <xf numFmtId="49" fontId="21" fillId="14" borderId="35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49" fontId="13" fillId="0" borderId="0" xfId="2" applyNumberFormat="1" applyFont="1" applyAlignment="1">
      <alignment horizontal="center" vertical="center" wrapText="1"/>
    </xf>
    <xf numFmtId="49" fontId="0" fillId="0" borderId="0" xfId="0" applyNumberFormat="1"/>
    <xf numFmtId="164" fontId="24" fillId="16" borderId="41" xfId="2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168" fontId="21" fillId="14" borderId="37" xfId="2" applyNumberFormat="1" applyFont="1" applyFill="1" applyBorder="1" applyAlignment="1">
      <alignment horizontal="center" vertical="center"/>
    </xf>
    <xf numFmtId="49" fontId="0" fillId="0" borderId="0" xfId="2" applyNumberFormat="1" applyFont="1" applyFill="1" applyBorder="1"/>
    <xf numFmtId="49" fontId="0" fillId="0" borderId="0" xfId="2" applyNumberFormat="1" applyFont="1"/>
    <xf numFmtId="49" fontId="13" fillId="0" borderId="0" xfId="2" applyNumberFormat="1" applyFont="1"/>
    <xf numFmtId="164" fontId="39" fillId="0" borderId="0" xfId="2" applyFont="1"/>
    <xf numFmtId="164" fontId="13" fillId="0" borderId="0" xfId="2" applyFont="1" applyFill="1" applyBorder="1"/>
    <xf numFmtId="49" fontId="21" fillId="14" borderId="40" xfId="2" applyNumberFormat="1" applyFont="1" applyFill="1" applyBorder="1" applyAlignment="1">
      <alignment horizontal="center" vertical="center" wrapText="1"/>
    </xf>
    <xf numFmtId="0" fontId="40" fillId="0" borderId="0" xfId="11" applyFont="1"/>
    <xf numFmtId="166" fontId="14" fillId="0" borderId="0" xfId="1" applyNumberFormat="1" applyFont="1"/>
    <xf numFmtId="0" fontId="23" fillId="0" borderId="1" xfId="11" applyFont="1" applyBorder="1" applyAlignment="1">
      <alignment vertical="center" wrapText="1" readingOrder="1"/>
    </xf>
    <xf numFmtId="0" fontId="25" fillId="0" borderId="0" xfId="11" applyFont="1" applyAlignment="1">
      <alignment horizontal="left"/>
    </xf>
    <xf numFmtId="0" fontId="25" fillId="0" borderId="0" xfId="11" applyFont="1"/>
    <xf numFmtId="165" fontId="41" fillId="0" borderId="0" xfId="11" applyNumberFormat="1" applyFont="1" applyAlignment="1">
      <alignment horizontal="center" vertical="center"/>
    </xf>
    <xf numFmtId="0" fontId="41" fillId="0" borderId="0" xfId="11" applyFont="1" applyAlignment="1">
      <alignment horizontal="center" vertical="center"/>
    </xf>
    <xf numFmtId="165" fontId="25" fillId="0" borderId="0" xfId="11" applyNumberFormat="1" applyFont="1"/>
    <xf numFmtId="41" fontId="25" fillId="0" borderId="0" xfId="11" applyNumberFormat="1" applyFont="1"/>
    <xf numFmtId="164" fontId="25" fillId="0" borderId="0" xfId="2" applyFont="1"/>
    <xf numFmtId="164" fontId="41" fillId="0" borderId="0" xfId="2" applyFont="1" applyAlignment="1">
      <alignment horizontal="center" vertical="center"/>
    </xf>
    <xf numFmtId="0" fontId="24" fillId="11" borderId="48" xfId="11" applyFont="1" applyFill="1" applyBorder="1" applyAlignment="1">
      <alignment horizontal="center" vertical="center" wrapText="1"/>
    </xf>
    <xf numFmtId="164" fontId="24" fillId="11" borderId="48" xfId="2" applyFont="1" applyFill="1" applyBorder="1" applyAlignment="1">
      <alignment horizontal="center" vertical="center" wrapText="1"/>
    </xf>
    <xf numFmtId="164" fontId="24" fillId="11" borderId="1" xfId="2" applyFont="1" applyFill="1" applyBorder="1" applyAlignment="1">
      <alignment horizontal="center"/>
    </xf>
    <xf numFmtId="41" fontId="24" fillId="11" borderId="1" xfId="11" applyNumberFormat="1" applyFont="1" applyFill="1" applyBorder="1" applyAlignment="1">
      <alignment horizontal="center"/>
    </xf>
    <xf numFmtId="164" fontId="23" fillId="0" borderId="0" xfId="2" applyFont="1"/>
    <xf numFmtId="0" fontId="3" fillId="0" borderId="0" xfId="11" applyFont="1" applyAlignment="1">
      <alignment horizontal="left" vertical="center"/>
    </xf>
    <xf numFmtId="0" fontId="26" fillId="11" borderId="0" xfId="11" applyFont="1" applyFill="1" applyAlignment="1">
      <alignment horizontal="center" vertical="center"/>
    </xf>
    <xf numFmtId="164" fontId="3" fillId="17" borderId="1" xfId="2" applyFont="1" applyFill="1" applyBorder="1" applyAlignment="1" applyProtection="1">
      <alignment horizontal="center" vertical="center" wrapText="1"/>
      <protection locked="0"/>
    </xf>
    <xf numFmtId="0" fontId="42" fillId="3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 wrapText="1"/>
    </xf>
    <xf numFmtId="164" fontId="38" fillId="2" borderId="0" xfId="2" applyFont="1" applyFill="1" applyAlignment="1">
      <alignment vertical="center" wrapText="1"/>
    </xf>
    <xf numFmtId="0" fontId="14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24" fillId="11" borderId="15" xfId="0" applyFont="1" applyFill="1" applyBorder="1" applyAlignment="1" applyProtection="1">
      <alignment horizontal="left" vertical="center" wrapText="1"/>
      <protection locked="0"/>
    </xf>
    <xf numFmtId="0" fontId="24" fillId="11" borderId="18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wrapText="1"/>
      <protection locked="0"/>
    </xf>
    <xf numFmtId="0" fontId="23" fillId="0" borderId="28" xfId="0" applyFont="1" applyBorder="1" applyAlignment="1" applyProtection="1">
      <alignment horizontal="center" vertical="top" wrapText="1"/>
      <protection locked="0"/>
    </xf>
    <xf numFmtId="0" fontId="24" fillId="2" borderId="5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4" fillId="11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23" fillId="2" borderId="1" xfId="0" applyFont="1" applyFill="1" applyBorder="1" applyAlignment="1" applyProtection="1">
      <alignment horizontal="center" wrapText="1"/>
      <protection locked="0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6" borderId="1" xfId="3" applyFont="1" applyFill="1" applyBorder="1" applyAlignment="1" applyProtection="1">
      <alignment horizontal="center" wrapText="1"/>
      <protection locked="0"/>
    </xf>
    <xf numFmtId="0" fontId="23" fillId="6" borderId="1" xfId="3" applyFont="1" applyFill="1" applyBorder="1" applyAlignment="1" applyProtection="1">
      <alignment horizontal="center" vertical="top" wrapText="1"/>
      <protection locked="0"/>
    </xf>
    <xf numFmtId="0" fontId="23" fillId="2" borderId="1" xfId="3" applyFont="1" applyFill="1" applyBorder="1" applyAlignment="1" applyProtection="1">
      <alignment horizontal="center" wrapText="1"/>
      <protection locked="0"/>
    </xf>
    <xf numFmtId="0" fontId="2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Protection="1"/>
    <xf numFmtId="0" fontId="22" fillId="2" borderId="0" xfId="0" applyFont="1" applyFill="1" applyBorder="1" applyAlignment="1" applyProtection="1">
      <alignment horizontal="center" vertical="center" wrapText="1"/>
    </xf>
    <xf numFmtId="1" fontId="23" fillId="2" borderId="0" xfId="1" applyNumberFormat="1" applyFont="1" applyFill="1" applyBorder="1" applyAlignment="1" applyProtection="1">
      <alignment horizontal="center" vertical="center" wrapText="1"/>
    </xf>
    <xf numFmtId="1" fontId="23" fillId="2" borderId="0" xfId="2" applyNumberFormat="1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164" fontId="3" fillId="3" borderId="1" xfId="2" applyFont="1" applyFill="1" applyBorder="1" applyAlignment="1" applyProtection="1">
      <alignment vertical="center" wrapText="1"/>
    </xf>
    <xf numFmtId="169" fontId="3" fillId="3" borderId="1" xfId="2" applyNumberFormat="1" applyFont="1" applyFill="1" applyBorder="1" applyAlignment="1" applyProtection="1">
      <alignment vertical="center" wrapText="1"/>
    </xf>
    <xf numFmtId="164" fontId="24" fillId="11" borderId="9" xfId="2" applyNumberFormat="1" applyFont="1" applyFill="1" applyBorder="1" applyAlignment="1" applyProtection="1">
      <alignment vertical="center" wrapText="1"/>
    </xf>
    <xf numFmtId="164" fontId="2" fillId="3" borderId="1" xfId="2" applyFont="1" applyFill="1" applyBorder="1" applyAlignment="1" applyProtection="1">
      <alignment vertical="center" wrapText="1"/>
    </xf>
    <xf numFmtId="169" fontId="2" fillId="3" borderId="1" xfId="2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164" fontId="22" fillId="2" borderId="0" xfId="2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Protection="1">
      <protection locked="0"/>
    </xf>
    <xf numFmtId="4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7" fontId="2" fillId="2" borderId="0" xfId="2" applyNumberFormat="1" applyFont="1" applyFill="1" applyBorder="1" applyAlignment="1" applyProtection="1">
      <alignment vertical="center" wrapText="1"/>
      <protection locked="0"/>
    </xf>
    <xf numFmtId="164" fontId="2" fillId="2" borderId="0" xfId="2" applyFont="1" applyFill="1" applyBorder="1" applyAlignment="1" applyProtection="1">
      <alignment horizontal="left" vertical="center" wrapText="1"/>
      <protection locked="0"/>
    </xf>
    <xf numFmtId="41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vertical="center" wrapText="1" readingOrder="1"/>
      <protection locked="0"/>
    </xf>
    <xf numFmtId="0" fontId="2" fillId="2" borderId="0" xfId="0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67" fontId="2" fillId="2" borderId="0" xfId="2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protection locked="0"/>
    </xf>
    <xf numFmtId="41" fontId="2" fillId="2" borderId="0" xfId="0" applyNumberFormat="1" applyFont="1" applyFill="1" applyBorder="1" applyAlignment="1" applyProtection="1">
      <alignment horizontal="center" vertical="center" wrapText="1"/>
    </xf>
    <xf numFmtId="164" fontId="24" fillId="11" borderId="1" xfId="2" applyNumberFormat="1" applyFont="1" applyFill="1" applyBorder="1" applyAlignment="1" applyProtection="1">
      <alignment horizontal="left" vertical="center" wrapText="1"/>
    </xf>
    <xf numFmtId="169" fontId="24" fillId="11" borderId="1" xfId="2" applyNumberFormat="1" applyFont="1" applyFill="1" applyBorder="1" applyAlignment="1" applyProtection="1">
      <alignment horizontal="left" vertical="center" wrapText="1"/>
    </xf>
    <xf numFmtId="41" fontId="2" fillId="2" borderId="1" xfId="0" applyNumberFormat="1" applyFont="1" applyFill="1" applyBorder="1" applyAlignment="1" applyProtection="1">
      <alignment horizontal="center" vertical="center" wrapText="1"/>
    </xf>
    <xf numFmtId="41" fontId="2" fillId="12" borderId="1" xfId="0" applyNumberFormat="1" applyFont="1" applyFill="1" applyBorder="1" applyAlignment="1" applyProtection="1">
      <alignment horizontal="center" vertical="center" wrapText="1"/>
    </xf>
    <xf numFmtId="169" fontId="2" fillId="3" borderId="1" xfId="2" applyNumberFormat="1" applyFont="1" applyFill="1" applyBorder="1" applyAlignment="1" applyProtection="1">
      <alignment horizontal="right" vertical="center" wrapText="1"/>
    </xf>
    <xf numFmtId="166" fontId="2" fillId="3" borderId="1" xfId="2" applyNumberFormat="1" applyFont="1" applyFill="1" applyBorder="1" applyAlignment="1" applyProtection="1">
      <alignment horizontal="right" vertical="center" wrapText="1"/>
    </xf>
    <xf numFmtId="164" fontId="22" fillId="2" borderId="0" xfId="2" applyNumberFormat="1" applyFont="1" applyFill="1" applyBorder="1" applyAlignment="1" applyProtection="1">
      <alignment horizontal="right" vertical="center" wrapText="1"/>
    </xf>
    <xf numFmtId="166" fontId="22" fillId="2" borderId="0" xfId="2" applyNumberFormat="1" applyFont="1" applyFill="1" applyBorder="1" applyAlignment="1" applyProtection="1">
      <alignment horizontal="righ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6" fontId="2" fillId="3" borderId="1" xfId="1" applyNumberFormat="1" applyFont="1" applyFill="1" applyBorder="1" applyAlignment="1" applyProtection="1">
      <alignment horizontal="right" vertical="center" wrapText="1"/>
    </xf>
    <xf numFmtId="166" fontId="22" fillId="2" borderId="0" xfId="1" applyNumberFormat="1" applyFont="1" applyFill="1" applyBorder="1" applyAlignment="1" applyProtection="1">
      <alignment horizontal="right" vertical="center" wrapText="1"/>
    </xf>
    <xf numFmtId="41" fontId="22" fillId="13" borderId="1" xfId="0" applyNumberFormat="1" applyFont="1" applyFill="1" applyBorder="1" applyAlignment="1" applyProtection="1">
      <alignment vertical="center" wrapText="1"/>
    </xf>
    <xf numFmtId="165" fontId="22" fillId="13" borderId="1" xfId="0" applyNumberFormat="1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horizontal="left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4" fillId="11" borderId="1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4" fillId="11" borderId="4" xfId="0" applyFont="1" applyFill="1" applyBorder="1" applyAlignment="1" applyProtection="1">
      <alignment horizontal="center" vertical="center" wrapText="1"/>
    </xf>
    <xf numFmtId="41" fontId="24" fillId="11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/>
    <xf numFmtId="0" fontId="47" fillId="0" borderId="0" xfId="0" applyFont="1" applyAlignment="1">
      <alignment horizontal="left" vertical="center" wrapText="1"/>
    </xf>
    <xf numFmtId="0" fontId="24" fillId="19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8" fillId="11" borderId="51" xfId="0" applyFont="1" applyFill="1" applyBorder="1" applyProtection="1">
      <protection locked="0"/>
    </xf>
    <xf numFmtId="0" fontId="48" fillId="11" borderId="52" xfId="0" applyFont="1" applyFill="1" applyBorder="1" applyProtection="1">
      <protection locked="0"/>
    </xf>
    <xf numFmtId="0" fontId="48" fillId="11" borderId="53" xfId="0" applyFont="1" applyFill="1" applyBorder="1" applyProtection="1">
      <protection locked="0"/>
    </xf>
    <xf numFmtId="0" fontId="48" fillId="11" borderId="54" xfId="0" applyFont="1" applyFill="1" applyBorder="1" applyProtection="1">
      <protection locked="0"/>
    </xf>
    <xf numFmtId="0" fontId="3" fillId="21" borderId="1" xfId="0" applyFont="1" applyFill="1" applyBorder="1" applyAlignment="1" applyProtection="1">
      <alignment vertical="center" wrapText="1"/>
      <protection locked="0"/>
    </xf>
    <xf numFmtId="41" fontId="2" fillId="22" borderId="1" xfId="11" applyNumberFormat="1" applyFont="1" applyFill="1" applyBorder="1" applyAlignment="1">
      <alignment horizontal="center" vertical="center" wrapText="1"/>
    </xf>
    <xf numFmtId="164" fontId="2" fillId="22" borderId="1" xfId="2" applyFont="1" applyFill="1" applyBorder="1" applyAlignment="1">
      <alignment horizontal="center" vertical="center" wrapText="1"/>
    </xf>
    <xf numFmtId="172" fontId="2" fillId="22" borderId="1" xfId="13" applyNumberFormat="1" applyFont="1" applyFill="1" applyBorder="1" applyAlignment="1">
      <alignment horizontal="right" vertical="center" wrapText="1"/>
    </xf>
    <xf numFmtId="0" fontId="24" fillId="11" borderId="11" xfId="0" applyFont="1" applyFill="1" applyBorder="1" applyAlignment="1" applyProtection="1">
      <alignment horizontal="center" vertical="center" wrapText="1"/>
    </xf>
    <xf numFmtId="164" fontId="24" fillId="11" borderId="1" xfId="2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1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6" fillId="4" borderId="0" xfId="0" applyFont="1" applyFill="1" applyBorder="1" applyProtection="1"/>
    <xf numFmtId="0" fontId="48" fillId="4" borderId="0" xfId="0" applyFont="1" applyFill="1" applyBorder="1" applyProtection="1"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26" fillId="11" borderId="58" xfId="0" applyFont="1" applyFill="1" applyBorder="1" applyProtection="1"/>
    <xf numFmtId="0" fontId="48" fillId="11" borderId="22" xfId="0" applyFont="1" applyFill="1" applyBorder="1" applyProtection="1">
      <protection locked="0"/>
    </xf>
    <xf numFmtId="0" fontId="48" fillId="11" borderId="23" xfId="0" applyFont="1" applyFill="1" applyBorder="1" applyProtection="1">
      <protection locked="0"/>
    </xf>
    <xf numFmtId="0" fontId="24" fillId="11" borderId="16" xfId="0" applyFont="1" applyFill="1" applyBorder="1" applyProtection="1"/>
    <xf numFmtId="0" fontId="24" fillId="11" borderId="50" xfId="0" applyFont="1" applyFill="1" applyBorder="1" applyProtection="1"/>
    <xf numFmtId="41" fontId="24" fillId="11" borderId="11" xfId="0" applyNumberFormat="1" applyFont="1" applyFill="1" applyBorder="1" applyAlignment="1" applyProtection="1">
      <alignment horizontal="center" vertical="center" wrapText="1"/>
    </xf>
    <xf numFmtId="164" fontId="2" fillId="2" borderId="1" xfId="2" applyNumberFormat="1" applyFont="1" applyFill="1" applyBorder="1" applyAlignment="1" applyProtection="1">
      <alignment horizontal="left" vertical="center" wrapText="1"/>
    </xf>
    <xf numFmtId="164" fontId="3" fillId="2" borderId="1" xfId="2" applyNumberFormat="1" applyFont="1" applyFill="1" applyBorder="1" applyAlignment="1" applyProtection="1">
      <alignment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166" fontId="23" fillId="0" borderId="1" xfId="1" applyNumberFormat="1" applyFont="1" applyBorder="1" applyAlignment="1" applyProtection="1">
      <alignment horizontal="center"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center" wrapText="1"/>
      <protection locked="0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3" applyFont="1" applyFill="1" applyBorder="1" applyAlignment="1" applyProtection="1">
      <alignment horizontal="left" vertical="center" wrapText="1"/>
      <protection locked="0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1" xfId="3" applyFont="1" applyFill="1" applyBorder="1" applyAlignment="1" applyProtection="1">
      <alignment horizontal="left" vertical="center" wrapText="1"/>
      <protection locked="0"/>
    </xf>
    <xf numFmtId="166" fontId="23" fillId="2" borderId="0" xfId="1" applyNumberFormat="1" applyFont="1" applyFill="1" applyBorder="1" applyAlignment="1" applyProtection="1">
      <alignment horizontal="center" vertical="center" wrapText="1"/>
    </xf>
    <xf numFmtId="2" fontId="23" fillId="2" borderId="0" xfId="1" applyNumberFormat="1" applyFont="1" applyFill="1" applyBorder="1" applyAlignment="1" applyProtection="1">
      <alignment horizontal="center" vertical="center" wrapText="1"/>
    </xf>
    <xf numFmtId="166" fontId="57" fillId="3" borderId="1" xfId="2" applyNumberFormat="1" applyFont="1" applyFill="1" applyBorder="1" applyAlignment="1">
      <alignment horizontal="right" vertical="center" wrapText="1"/>
    </xf>
    <xf numFmtId="164" fontId="57" fillId="2" borderId="1" xfId="2" applyNumberFormat="1" applyFont="1" applyFill="1" applyBorder="1" applyAlignment="1">
      <alignment horizontal="right" vertical="center" wrapText="1"/>
    </xf>
    <xf numFmtId="164" fontId="57" fillId="2" borderId="1" xfId="0" applyNumberFormat="1" applyFont="1" applyFill="1" applyBorder="1" applyAlignment="1">
      <alignment horizontal="right" vertical="center" wrapText="1"/>
    </xf>
    <xf numFmtId="0" fontId="59" fillId="23" borderId="10" xfId="0" applyFont="1" applyFill="1" applyBorder="1" applyAlignment="1" applyProtection="1">
      <alignment horizontal="left" vertical="center" wrapText="1"/>
      <protection locked="0"/>
    </xf>
    <xf numFmtId="0" fontId="59" fillId="23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9" fillId="23" borderId="1" xfId="0" applyFont="1" applyFill="1" applyBorder="1" applyAlignment="1" applyProtection="1">
      <alignment vertical="center" wrapText="1"/>
      <protection locked="0"/>
    </xf>
    <xf numFmtId="0" fontId="59" fillId="24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2" borderId="1" xfId="2" applyNumberFormat="1" applyFont="1" applyFill="1" applyBorder="1" applyAlignment="1" applyProtection="1">
      <alignment vertical="center" wrapText="1"/>
      <protection locked="0"/>
    </xf>
    <xf numFmtId="0" fontId="59" fillId="0" borderId="1" xfId="0" applyFont="1" applyFill="1" applyBorder="1" applyAlignment="1" applyProtection="1">
      <alignment vertical="center" wrapText="1"/>
      <protection locked="0"/>
    </xf>
    <xf numFmtId="0" fontId="58" fillId="0" borderId="0" xfId="15"/>
    <xf numFmtId="0" fontId="3" fillId="21" borderId="0" xfId="11" applyFont="1" applyFill="1" applyAlignment="1">
      <alignment horizontal="left" vertical="center" wrapText="1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2" fillId="12" borderId="0" xfId="0" applyFont="1" applyFill="1" applyBorder="1" applyAlignment="1" applyProtection="1">
      <alignment horizontal="center" vertical="center" wrapText="1"/>
      <protection locked="0"/>
    </xf>
    <xf numFmtId="175" fontId="2" fillId="2" borderId="0" xfId="2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4" fillId="11" borderId="18" xfId="0" applyFont="1" applyFill="1" applyBorder="1" applyAlignment="1" applyProtection="1">
      <alignment horizontal="center" vertical="center" wrapText="1"/>
      <protection locked="0"/>
    </xf>
    <xf numFmtId="166" fontId="23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4" fillId="11" borderId="0" xfId="0" applyFont="1" applyFill="1" applyBorder="1" applyAlignment="1" applyProtection="1">
      <alignment horizontal="center" vertical="center" wrapText="1"/>
    </xf>
    <xf numFmtId="0" fontId="3" fillId="21" borderId="0" xfId="0" applyFont="1" applyFill="1" applyBorder="1" applyAlignment="1" applyProtection="1">
      <alignment vertical="center" wrapText="1"/>
      <protection locked="0"/>
    </xf>
    <xf numFmtId="0" fontId="24" fillId="11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6" fontId="57" fillId="3" borderId="1" xfId="16" applyNumberFormat="1" applyFont="1" applyFill="1" applyBorder="1" applyAlignment="1">
      <alignment horizontal="right" vertical="center" wrapText="1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0" fontId="66" fillId="25" borderId="66" xfId="0" applyNumberFormat="1" applyFont="1" applyFill="1" applyBorder="1" applyAlignment="1" applyProtection="1">
      <alignment horizontal="left" vertical="center" wrapText="1" shrinkToFit="1" readingOrder="1"/>
    </xf>
    <xf numFmtId="0" fontId="66" fillId="16" borderId="67" xfId="0" applyNumberFormat="1" applyFont="1" applyFill="1" applyBorder="1" applyAlignment="1" applyProtection="1">
      <alignment horizontal="right" vertical="center" wrapText="1" shrinkToFit="1" readingOrder="1"/>
    </xf>
    <xf numFmtId="0" fontId="66" fillId="25" borderId="67" xfId="0" applyNumberFormat="1" applyFont="1" applyFill="1" applyBorder="1" applyAlignment="1" applyProtection="1">
      <alignment horizontal="center" vertical="center" wrapText="1" shrinkToFit="1" readingOrder="1"/>
    </xf>
    <xf numFmtId="0" fontId="68" fillId="26" borderId="0" xfId="0" applyNumberFormat="1" applyFont="1" applyFill="1" applyAlignment="1" applyProtection="1">
      <alignment horizontal="left" vertical="top" wrapText="1" shrinkToFit="1" readingOrder="1"/>
    </xf>
    <xf numFmtId="4" fontId="68" fillId="26" borderId="0" xfId="0" applyNumberFormat="1" applyFont="1" applyFill="1" applyAlignment="1" applyProtection="1">
      <alignment horizontal="right" vertical="center" wrapText="1" shrinkToFit="1" readingOrder="1"/>
    </xf>
    <xf numFmtId="0" fontId="68" fillId="0" borderId="0" xfId="0" applyNumberFormat="1" applyFont="1" applyAlignment="1" applyProtection="1">
      <alignment horizontal="left" vertical="top" wrapText="1" shrinkToFit="1" readingOrder="1"/>
    </xf>
    <xf numFmtId="4" fontId="68" fillId="0" borderId="0" xfId="0" applyNumberFormat="1" applyFont="1" applyAlignment="1" applyProtection="1">
      <alignment horizontal="right" vertical="center" wrapText="1" shrinkToFit="1" readingOrder="1"/>
    </xf>
    <xf numFmtId="49" fontId="69" fillId="0" borderId="0" xfId="0" applyNumberFormat="1" applyFont="1" applyAlignment="1" applyProtection="1">
      <alignment horizontal="center" vertical="top" wrapText="1" shrinkToFit="1" readingOrder="1"/>
    </xf>
    <xf numFmtId="0" fontId="58" fillId="27" borderId="0" xfId="15" applyFill="1"/>
    <xf numFmtId="0" fontId="66" fillId="25" borderId="0" xfId="0" applyNumberFormat="1" applyFont="1" applyFill="1" applyAlignment="1" applyProtection="1">
      <alignment horizontal="right" vertical="center" wrapText="1" shrinkToFit="1" readingOrder="1"/>
    </xf>
    <xf numFmtId="0" fontId="66" fillId="16" borderId="0" xfId="0" applyNumberFormat="1" applyFont="1" applyFill="1" applyAlignment="1" applyProtection="1">
      <alignment horizontal="right" vertical="center" wrapText="1" shrinkToFit="1" readingOrder="1"/>
    </xf>
    <xf numFmtId="0" fontId="67" fillId="26" borderId="0" xfId="0" applyNumberFormat="1" applyFont="1" applyFill="1" applyAlignment="1" applyProtection="1">
      <alignment horizontal="right" vertical="center" wrapText="1" shrinkToFit="1" readingOrder="1"/>
    </xf>
    <xf numFmtId="4" fontId="67" fillId="26" borderId="0" xfId="0" applyNumberFormat="1" applyFont="1" applyFill="1" applyAlignment="1" applyProtection="1">
      <alignment horizontal="right" vertical="center" wrapText="1" shrinkToFit="1" readingOrder="1"/>
    </xf>
    <xf numFmtId="4" fontId="67" fillId="16" borderId="0" xfId="0" applyNumberFormat="1" applyFont="1" applyFill="1" applyAlignment="1" applyProtection="1">
      <alignment horizontal="right" vertical="center" wrapText="1" shrinkToFit="1" readingOrder="1"/>
    </xf>
    <xf numFmtId="0" fontId="67" fillId="0" borderId="0" xfId="0" applyNumberFormat="1" applyFont="1" applyAlignment="1" applyProtection="1">
      <alignment horizontal="right" vertical="center" wrapText="1" shrinkToFit="1" readingOrder="1"/>
    </xf>
    <xf numFmtId="4" fontId="67" fillId="0" borderId="0" xfId="0" applyNumberFormat="1" applyFont="1" applyAlignment="1" applyProtection="1">
      <alignment horizontal="right" vertical="center" wrapText="1" shrinkToFit="1" readingOrder="1"/>
    </xf>
    <xf numFmtId="4" fontId="0" fillId="0" borderId="0" xfId="0" applyNumberFormat="1"/>
    <xf numFmtId="0" fontId="70" fillId="0" borderId="0" xfId="0" applyNumberFormat="1" applyFont="1" applyAlignment="1" applyProtection="1">
      <alignment horizontal="right" vertical="center" wrapText="1" shrinkToFit="1" readingOrder="1"/>
    </xf>
    <xf numFmtId="4" fontId="70" fillId="0" borderId="0" xfId="0" applyNumberFormat="1" applyFont="1" applyAlignment="1" applyProtection="1">
      <alignment horizontal="right" vertical="center" wrapText="1" shrinkToFit="1" readingOrder="1"/>
    </xf>
    <xf numFmtId="0" fontId="70" fillId="26" borderId="0" xfId="0" applyNumberFormat="1" applyFont="1" applyFill="1" applyAlignment="1" applyProtection="1">
      <alignment horizontal="right" vertical="center" wrapText="1" shrinkToFit="1" readingOrder="1"/>
    </xf>
    <xf numFmtId="4" fontId="70" fillId="26" borderId="0" xfId="0" applyNumberFormat="1" applyFont="1" applyFill="1" applyAlignment="1" applyProtection="1">
      <alignment horizontal="right" vertical="center" wrapText="1" shrinkToFit="1" readingOrder="1"/>
    </xf>
    <xf numFmtId="41" fontId="24" fillId="11" borderId="0" xfId="0" applyNumberFormat="1" applyFont="1" applyFill="1" applyBorder="1" applyAlignment="1" applyProtection="1">
      <alignment horizontal="center" vertical="center" wrapText="1"/>
    </xf>
    <xf numFmtId="41" fontId="24" fillId="2" borderId="0" xfId="0" applyNumberFormat="1" applyFont="1" applyFill="1" applyBorder="1" applyAlignment="1" applyProtection="1">
      <alignment horizontal="center" vertical="center" wrapText="1"/>
    </xf>
    <xf numFmtId="0" fontId="24" fillId="29" borderId="68" xfId="0" applyFont="1" applyFill="1" applyBorder="1" applyAlignment="1" applyProtection="1">
      <alignment horizontal="center" vertical="center"/>
      <protection locked="0"/>
    </xf>
    <xf numFmtId="4" fontId="23" fillId="8" borderId="68" xfId="0" applyNumberFormat="1" applyFont="1" applyFill="1" applyBorder="1" applyAlignment="1" applyProtection="1">
      <alignment horizontal="center" vertical="center"/>
    </xf>
    <xf numFmtId="0" fontId="23" fillId="8" borderId="68" xfId="0" applyFont="1" applyFill="1" applyBorder="1" applyAlignment="1" applyProtection="1">
      <alignment horizontal="center" vertical="center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4" fontId="0" fillId="27" borderId="0" xfId="0" applyNumberFormat="1" applyFill="1"/>
    <xf numFmtId="0" fontId="0" fillId="5" borderId="0" xfId="0" applyFill="1"/>
    <xf numFmtId="4" fontId="0" fillId="5" borderId="0" xfId="0" applyNumberFormat="1" applyFill="1"/>
    <xf numFmtId="164" fontId="24" fillId="11" borderId="1" xfId="2" applyNumberFormat="1" applyFont="1" applyFill="1" applyBorder="1" applyAlignment="1" applyProtection="1">
      <alignment vertical="center" wrapText="1"/>
    </xf>
    <xf numFmtId="0" fontId="24" fillId="30" borderId="1" xfId="0" applyFont="1" applyFill="1" applyBorder="1" applyAlignment="1" applyProtection="1">
      <alignment horizontal="center" vertical="center" wrapText="1"/>
    </xf>
    <xf numFmtId="4" fontId="59" fillId="23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" fontId="90" fillId="0" borderId="65" xfId="0" applyNumberFormat="1" applyFont="1" applyBorder="1" applyAlignment="1">
      <alignment horizontal="right" vertical="center" wrapText="1" shrinkToFit="1" readingOrder="1"/>
    </xf>
    <xf numFmtId="49" fontId="95" fillId="0" borderId="0" xfId="0" applyNumberFormat="1" applyFont="1" applyAlignment="1">
      <alignment horizontal="center" vertical="top" wrapText="1" shrinkToFit="1" readingOrder="1"/>
    </xf>
    <xf numFmtId="4" fontId="93" fillId="0" borderId="65" xfId="0" applyNumberFormat="1" applyFont="1" applyBorder="1" applyAlignment="1">
      <alignment horizontal="right" vertical="center" wrapText="1" shrinkToFit="1" readingOrder="1"/>
    </xf>
    <xf numFmtId="0" fontId="0" fillId="0" borderId="0" xfId="0"/>
    <xf numFmtId="0" fontId="4" fillId="2" borderId="0" xfId="0" applyFont="1" applyFill="1" applyProtection="1">
      <protection locked="0"/>
    </xf>
    <xf numFmtId="0" fontId="23" fillId="62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0" borderId="51" xfId="0" applyFont="1" applyBorder="1" applyProtection="1">
      <protection locked="0"/>
    </xf>
    <xf numFmtId="0" fontId="4" fillId="0" borderId="51" xfId="0" applyFont="1" applyBorder="1"/>
    <xf numFmtId="0" fontId="4" fillId="0" borderId="52" xfId="0" applyFont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49" xfId="0" applyFont="1" applyFill="1" applyBorder="1" applyProtection="1">
      <protection locked="0"/>
    </xf>
    <xf numFmtId="0" fontId="4" fillId="0" borderId="55" xfId="0" applyFont="1" applyBorder="1"/>
    <xf numFmtId="43" fontId="2" fillId="0" borderId="19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Alignment="1" applyProtection="1">
      <alignment vertical="center" wrapText="1"/>
      <protection locked="0"/>
    </xf>
    <xf numFmtId="43" fontId="23" fillId="8" borderId="68" xfId="0" applyNumberFormat="1" applyFont="1" applyFill="1" applyBorder="1" applyAlignment="1" applyProtection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53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0" fontId="43" fillId="5" borderId="5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6" xfId="0" applyFont="1" applyFill="1" applyBorder="1" applyAlignment="1">
      <alignment horizontal="center" vertical="center"/>
    </xf>
    <xf numFmtId="0" fontId="43" fillId="5" borderId="7" xfId="0" applyFont="1" applyFill="1" applyBorder="1" applyAlignment="1">
      <alignment horizontal="center" vertical="center"/>
    </xf>
    <xf numFmtId="0" fontId="43" fillId="5" borderId="49" xfId="0" applyFont="1" applyFill="1" applyBorder="1" applyAlignment="1">
      <alignment horizontal="center" vertical="center"/>
    </xf>
    <xf numFmtId="0" fontId="43" fillId="5" borderId="55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 wrapText="1"/>
    </xf>
    <xf numFmtId="0" fontId="43" fillId="0" borderId="55" xfId="0" applyFont="1" applyBorder="1" applyAlignment="1">
      <alignment horizontal="left" vertical="center" wrapText="1"/>
    </xf>
    <xf numFmtId="0" fontId="4" fillId="2" borderId="51" xfId="0" applyFont="1" applyFill="1" applyBorder="1" applyAlignment="1" applyProtection="1">
      <alignment horizontal="center" wrapText="1"/>
      <protection locked="0"/>
    </xf>
    <xf numFmtId="9" fontId="59" fillId="64" borderId="1" xfId="1" applyFont="1" applyFill="1" applyBorder="1" applyAlignment="1" applyProtection="1">
      <alignment horizontal="center" vertical="center" wrapText="1"/>
    </xf>
    <xf numFmtId="166" fontId="23" fillId="2" borderId="0" xfId="1" applyNumberFormat="1" applyFont="1" applyFill="1" applyBorder="1" applyAlignment="1" applyProtection="1">
      <alignment horizontal="center" vertical="center" wrapText="1"/>
    </xf>
    <xf numFmtId="166" fontId="23" fillId="0" borderId="48" xfId="1" applyNumberFormat="1" applyFont="1" applyBorder="1" applyAlignment="1" applyProtection="1">
      <alignment horizontal="center" vertical="center" wrapText="1"/>
      <protection locked="0"/>
    </xf>
    <xf numFmtId="166" fontId="23" fillId="0" borderId="4" xfId="1" applyNumberFormat="1" applyFont="1" applyBorder="1" applyAlignment="1" applyProtection="1">
      <alignment horizontal="center" vertical="center" wrapText="1"/>
      <protection locked="0"/>
    </xf>
    <xf numFmtId="170" fontId="23" fillId="2" borderId="0" xfId="1" applyNumberFormat="1" applyFont="1" applyFill="1" applyBorder="1" applyAlignment="1" applyProtection="1">
      <alignment horizontal="center" vertical="center" wrapText="1"/>
    </xf>
    <xf numFmtId="0" fontId="14" fillId="62" borderId="0" xfId="0" applyFont="1" applyFill="1" applyAlignment="1" applyProtection="1">
      <alignment horizontal="left" wrapText="1"/>
      <protection locked="0"/>
    </xf>
    <xf numFmtId="0" fontId="49" fillId="20" borderId="5" xfId="0" applyFont="1" applyFill="1" applyBorder="1" applyAlignment="1" applyProtection="1">
      <alignment horizontal="center" vertical="center" wrapText="1"/>
    </xf>
    <xf numFmtId="0" fontId="49" fillId="20" borderId="0" xfId="0" applyFont="1" applyFill="1" applyBorder="1" applyAlignment="1" applyProtection="1">
      <alignment horizontal="center" vertical="center" wrapText="1"/>
    </xf>
    <xf numFmtId="0" fontId="49" fillId="20" borderId="6" xfId="0" applyFont="1" applyFill="1" applyBorder="1" applyAlignment="1" applyProtection="1">
      <alignment horizontal="center" vertical="center" wrapText="1"/>
    </xf>
    <xf numFmtId="0" fontId="49" fillId="20" borderId="7" xfId="0" applyFont="1" applyFill="1" applyBorder="1" applyAlignment="1" applyProtection="1">
      <alignment horizontal="center" vertical="center" wrapText="1"/>
    </xf>
    <xf numFmtId="0" fontId="49" fillId="20" borderId="49" xfId="0" applyFont="1" applyFill="1" applyBorder="1" applyAlignment="1" applyProtection="1">
      <alignment horizontal="center" vertical="center" wrapText="1"/>
    </xf>
    <xf numFmtId="0" fontId="49" fillId="20" borderId="55" xfId="0" applyFont="1" applyFill="1" applyBorder="1" applyAlignment="1" applyProtection="1">
      <alignment horizontal="center" vertical="center" wrapText="1"/>
    </xf>
    <xf numFmtId="0" fontId="84" fillId="62" borderId="0" xfId="0" applyFont="1" applyFill="1" applyBorder="1" applyAlignment="1" applyProtection="1">
      <alignment horizontal="center" wrapText="1"/>
    </xf>
    <xf numFmtId="166" fontId="23" fillId="0" borderId="0" xfId="1" applyNumberFormat="1" applyFont="1" applyBorder="1" applyAlignment="1" applyProtection="1">
      <alignment horizontal="center" vertical="center" wrapText="1"/>
    </xf>
    <xf numFmtId="9" fontId="59" fillId="62" borderId="1" xfId="1" applyFont="1" applyFill="1" applyBorder="1" applyAlignment="1" applyProtection="1">
      <alignment horizontal="center" vertical="center" wrapText="1"/>
    </xf>
    <xf numFmtId="166" fontId="23" fillId="0" borderId="1" xfId="1" applyNumberFormat="1" applyFont="1" applyBorder="1" applyAlignment="1" applyProtection="1">
      <alignment horizontal="center" vertical="center" wrapText="1"/>
      <protection locked="0"/>
    </xf>
    <xf numFmtId="9" fontId="23" fillId="62" borderId="1" xfId="1" applyFont="1" applyFill="1" applyBorder="1" applyAlignment="1">
      <alignment horizontal="center" vertical="center" wrapText="1"/>
    </xf>
    <xf numFmtId="0" fontId="24" fillId="11" borderId="1" xfId="0" applyFont="1" applyFill="1" applyBorder="1" applyAlignment="1" applyProtection="1">
      <alignment horizontal="left" vertical="center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166" fontId="3" fillId="0" borderId="61" xfId="1" applyNumberFormat="1" applyFont="1" applyBorder="1" applyAlignment="1">
      <alignment horizontal="center" vertical="center"/>
    </xf>
    <xf numFmtId="165" fontId="23" fillId="0" borderId="30" xfId="0" applyNumberFormat="1" applyFont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wrapText="1"/>
      <protection locked="0"/>
    </xf>
    <xf numFmtId="165" fontId="3" fillId="0" borderId="61" xfId="0" applyNumberFormat="1" applyFont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  <protection locked="0"/>
    </xf>
    <xf numFmtId="2" fontId="23" fillId="0" borderId="30" xfId="0" applyNumberFormat="1" applyFont="1" applyBorder="1" applyAlignment="1" applyProtection="1">
      <alignment horizontal="center" vertical="center" wrapText="1"/>
      <protection locked="0"/>
    </xf>
    <xf numFmtId="174" fontId="3" fillId="2" borderId="1" xfId="14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23" fillId="0" borderId="48" xfId="1" applyNumberFormat="1" applyFont="1" applyBorder="1" applyAlignment="1">
      <alignment horizontal="center" vertical="center" wrapText="1"/>
    </xf>
    <xf numFmtId="2" fontId="23" fillId="0" borderId="59" xfId="1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8" xfId="0" applyFont="1" applyFill="1" applyBorder="1" applyAlignment="1" applyProtection="1">
      <alignment horizontal="left" vertical="center" wrapText="1"/>
      <protection locked="0"/>
    </xf>
    <xf numFmtId="0" fontId="23" fillId="2" borderId="4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center" wrapText="1"/>
      <protection locked="0"/>
    </xf>
    <xf numFmtId="0" fontId="23" fillId="2" borderId="3" xfId="0" applyFont="1" applyFill="1" applyBorder="1" applyAlignment="1" applyProtection="1">
      <alignment horizontal="center" wrapText="1"/>
      <protection locked="0"/>
    </xf>
    <xf numFmtId="0" fontId="23" fillId="0" borderId="60" xfId="0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166" fontId="3" fillId="2" borderId="48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top" wrapText="1"/>
      <protection locked="0"/>
    </xf>
    <xf numFmtId="0" fontId="23" fillId="2" borderId="3" xfId="0" applyFont="1" applyFill="1" applyBorder="1" applyAlignment="1" applyProtection="1">
      <alignment horizontal="center" vertical="top" wrapText="1"/>
      <protection locked="0"/>
    </xf>
    <xf numFmtId="0" fontId="23" fillId="2" borderId="48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30" xfId="0" applyNumberFormat="1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9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66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30" xfId="0" applyNumberFormat="1" applyFont="1" applyBorder="1" applyAlignment="1" applyProtection="1">
      <alignment horizontal="center" vertical="center" wrapText="1"/>
      <protection locked="0"/>
    </xf>
    <xf numFmtId="9" fontId="59" fillId="23" borderId="1" xfId="1" applyFont="1" applyFill="1" applyBorder="1" applyAlignment="1" applyProtection="1">
      <alignment horizontal="center" vertical="center" wrapText="1"/>
    </xf>
    <xf numFmtId="9" fontId="23" fillId="0" borderId="30" xfId="1" applyFont="1" applyBorder="1" applyAlignment="1" applyProtection="1">
      <alignment horizontal="center" vertical="center" wrapText="1"/>
      <protection locked="0"/>
    </xf>
    <xf numFmtId="0" fontId="24" fillId="11" borderId="24" xfId="0" applyFont="1" applyFill="1" applyBorder="1" applyAlignment="1" applyProtection="1">
      <alignment horizontal="left" vertical="center" wrapText="1"/>
      <protection locked="0"/>
    </xf>
    <xf numFmtId="0" fontId="24" fillId="11" borderId="25" xfId="0" applyFont="1" applyFill="1" applyBorder="1" applyAlignment="1" applyProtection="1">
      <alignment horizontal="left" vertical="center" wrapText="1"/>
      <protection locked="0"/>
    </xf>
    <xf numFmtId="0" fontId="24" fillId="11" borderId="33" xfId="0" applyFont="1" applyFill="1" applyBorder="1" applyAlignment="1" applyProtection="1">
      <alignment horizontal="left" vertical="center" wrapText="1"/>
      <protection locked="0"/>
    </xf>
    <xf numFmtId="0" fontId="24" fillId="11" borderId="26" xfId="0" applyFont="1" applyFill="1" applyBorder="1" applyAlignment="1" applyProtection="1">
      <alignment horizontal="left" vertical="center" wrapText="1"/>
      <protection locked="0"/>
    </xf>
    <xf numFmtId="0" fontId="24" fillId="11" borderId="18" xfId="0" applyFont="1" applyFill="1" applyBorder="1" applyAlignment="1" applyProtection="1">
      <alignment horizontal="center" vertical="center" wrapText="1"/>
      <protection locked="0"/>
    </xf>
    <xf numFmtId="0" fontId="24" fillId="11" borderId="20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166" fontId="3" fillId="0" borderId="61" xfId="1" applyNumberFormat="1" applyFont="1" applyFill="1" applyBorder="1" applyAlignment="1">
      <alignment horizontal="center" vertical="center"/>
    </xf>
    <xf numFmtId="9" fontId="59" fillId="0" borderId="1" xfId="1" applyFont="1" applyFill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horizontal="left" vertical="center" wrapText="1"/>
      <protection locked="0"/>
    </xf>
    <xf numFmtId="10" fontId="23" fillId="0" borderId="30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2" fontId="3" fillId="0" borderId="61" xfId="0" applyNumberFormat="1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top" wrapText="1"/>
      <protection locked="0"/>
    </xf>
    <xf numFmtId="2" fontId="59" fillId="0" borderId="1" xfId="1" applyNumberFormat="1" applyFont="1" applyFill="1" applyBorder="1" applyAlignment="1" applyProtection="1">
      <alignment horizontal="center" vertical="center" wrapText="1"/>
    </xf>
    <xf numFmtId="165" fontId="3" fillId="62" borderId="1" xfId="1" applyNumberFormat="1" applyFont="1" applyFill="1" applyBorder="1" applyAlignment="1">
      <alignment horizontal="center" vertical="center" wrapText="1"/>
    </xf>
    <xf numFmtId="174" fontId="3" fillId="62" borderId="1" xfId="14" applyNumberFormat="1" applyFont="1" applyFill="1" applyBorder="1" applyAlignment="1">
      <alignment horizontal="center" vertical="center" wrapText="1"/>
    </xf>
    <xf numFmtId="0" fontId="98" fillId="62" borderId="12" xfId="0" applyFont="1" applyFill="1" applyBorder="1" applyAlignment="1" applyProtection="1">
      <alignment horizontal="left" wrapText="1"/>
    </xf>
    <xf numFmtId="0" fontId="98" fillId="62" borderId="13" xfId="0" applyFont="1" applyFill="1" applyBorder="1" applyAlignment="1" applyProtection="1">
      <alignment horizontal="left" wrapText="1"/>
    </xf>
    <xf numFmtId="0" fontId="98" fillId="62" borderId="14" xfId="0" applyFont="1" applyFill="1" applyBorder="1" applyAlignment="1" applyProtection="1">
      <alignment horizontal="left" wrapText="1"/>
    </xf>
    <xf numFmtId="0" fontId="98" fillId="62" borderId="17" xfId="0" applyFont="1" applyFill="1" applyBorder="1" applyAlignment="1" applyProtection="1">
      <alignment horizontal="left" wrapText="1"/>
    </xf>
    <xf numFmtId="0" fontId="98" fillId="62" borderId="0" xfId="0" applyFont="1" applyFill="1" applyBorder="1" applyAlignment="1" applyProtection="1">
      <alignment horizontal="left" wrapText="1"/>
    </xf>
    <xf numFmtId="0" fontId="98" fillId="62" borderId="57" xfId="0" applyFont="1" applyFill="1" applyBorder="1" applyAlignment="1" applyProtection="1">
      <alignment horizontal="left" wrapText="1"/>
    </xf>
    <xf numFmtId="0" fontId="24" fillId="11" borderId="11" xfId="0" applyFont="1" applyFill="1" applyBorder="1" applyAlignment="1" applyProtection="1">
      <alignment horizontal="center" vertical="center" wrapText="1"/>
    </xf>
    <xf numFmtId="0" fontId="24" fillId="11" borderId="8" xfId="0" applyFont="1" applyFill="1" applyBorder="1" applyAlignment="1" applyProtection="1">
      <alignment horizontal="center" vertical="center" wrapText="1"/>
    </xf>
    <xf numFmtId="0" fontId="24" fillId="11" borderId="3" xfId="0" applyFont="1" applyFill="1" applyBorder="1" applyAlignment="1" applyProtection="1">
      <alignment horizontal="center" vertical="center" wrapText="1"/>
    </xf>
    <xf numFmtId="0" fontId="24" fillId="11" borderId="17" xfId="0" applyFont="1" applyFill="1" applyBorder="1" applyAlignment="1" applyProtection="1">
      <alignment horizontal="left" vertical="center" wrapText="1"/>
      <protection locked="0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0" fontId="49" fillId="20" borderId="17" xfId="0" applyFont="1" applyFill="1" applyBorder="1" applyAlignment="1" applyProtection="1">
      <alignment horizontal="center" vertical="center" wrapText="1"/>
    </xf>
    <xf numFmtId="0" fontId="49" fillId="20" borderId="57" xfId="0" applyFont="1" applyFill="1" applyBorder="1" applyAlignment="1" applyProtection="1">
      <alignment horizontal="center" vertical="center" wrapText="1"/>
    </xf>
    <xf numFmtId="0" fontId="49" fillId="20" borderId="18" xfId="0" applyFont="1" applyFill="1" applyBorder="1" applyAlignment="1" applyProtection="1">
      <alignment horizontal="center" vertical="center" wrapText="1"/>
    </xf>
    <xf numFmtId="0" fontId="49" fillId="20" borderId="19" xfId="0" applyFont="1" applyFill="1" applyBorder="1" applyAlignment="1" applyProtection="1">
      <alignment horizontal="center" vertical="center" wrapText="1"/>
    </xf>
    <xf numFmtId="0" fontId="49" fillId="20" borderId="20" xfId="0" applyFont="1" applyFill="1" applyBorder="1" applyAlignment="1" applyProtection="1">
      <alignment horizontal="center" vertical="center" wrapText="1"/>
    </xf>
    <xf numFmtId="0" fontId="96" fillId="62" borderId="18" xfId="0" applyFont="1" applyFill="1" applyBorder="1" applyAlignment="1" applyProtection="1">
      <alignment horizontal="left" vertical="center" wrapText="1"/>
      <protection locked="0"/>
    </xf>
    <xf numFmtId="0" fontId="96" fillId="62" borderId="19" xfId="0" applyFont="1" applyFill="1" applyBorder="1" applyAlignment="1" applyProtection="1">
      <alignment horizontal="left" vertical="center" wrapText="1"/>
      <protection locked="0"/>
    </xf>
    <xf numFmtId="0" fontId="96" fillId="62" borderId="20" xfId="0" applyFont="1" applyFill="1" applyBorder="1" applyAlignment="1" applyProtection="1">
      <alignment horizontal="left" vertical="center" wrapText="1"/>
      <protection locked="0"/>
    </xf>
    <xf numFmtId="0" fontId="49" fillId="4" borderId="0" xfId="0" applyFont="1" applyFill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horizontal="center" vertical="center" wrapText="1"/>
    </xf>
    <xf numFmtId="0" fontId="24" fillId="11" borderId="15" xfId="0" applyFont="1" applyFill="1" applyBorder="1" applyAlignment="1" applyProtection="1">
      <alignment horizontal="center" vertical="center" wrapText="1"/>
    </xf>
    <xf numFmtId="0" fontId="24" fillId="11" borderId="10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 applyProtection="1">
      <alignment horizontal="center" vertical="center" wrapText="1"/>
    </xf>
    <xf numFmtId="0" fontId="24" fillId="11" borderId="5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4" fillId="11" borderId="2" xfId="0" applyFont="1" applyFill="1" applyBorder="1" applyAlignment="1" applyProtection="1">
      <alignment horizontal="left" vertical="center" wrapText="1"/>
      <protection locked="0"/>
    </xf>
    <xf numFmtId="0" fontId="24" fillId="11" borderId="48" xfId="0" applyFont="1" applyFill="1" applyBorder="1" applyAlignment="1" applyProtection="1">
      <alignment horizontal="left" vertical="center" wrapText="1"/>
      <protection locked="0"/>
    </xf>
    <xf numFmtId="0" fontId="2" fillId="5" borderId="5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/>
    </xf>
    <xf numFmtId="0" fontId="24" fillId="11" borderId="21" xfId="0" applyFont="1" applyFill="1" applyBorder="1" applyAlignment="1" applyProtection="1">
      <alignment horizontal="right" vertical="center" wrapText="1"/>
    </xf>
    <xf numFmtId="0" fontId="24" fillId="11" borderId="22" xfId="0" applyFont="1" applyFill="1" applyBorder="1" applyAlignment="1" applyProtection="1">
      <alignment horizontal="right" vertical="center" wrapText="1"/>
    </xf>
    <xf numFmtId="0" fontId="24" fillId="11" borderId="23" xfId="0" applyFont="1" applyFill="1" applyBorder="1" applyAlignment="1" applyProtection="1">
      <alignment horizontal="right" vertical="center" wrapText="1"/>
    </xf>
    <xf numFmtId="0" fontId="60" fillId="0" borderId="0" xfId="0" applyNumberFormat="1" applyFont="1" applyAlignment="1" applyProtection="1">
      <alignment horizontal="left" vertical="top" wrapText="1" shrinkToFit="1" readingOrder="1"/>
    </xf>
    <xf numFmtId="0" fontId="61" fillId="0" borderId="0" xfId="0" applyNumberFormat="1" applyFont="1" applyAlignment="1" applyProtection="1">
      <alignment horizontal="left" vertical="top" wrapText="1" shrinkToFit="1" readingOrder="1"/>
    </xf>
    <xf numFmtId="0" fontId="62" fillId="25" borderId="0" xfId="0" applyNumberFormat="1" applyFont="1" applyFill="1" applyAlignment="1" applyProtection="1">
      <alignment horizontal="left" vertical="top" wrapText="1" shrinkToFit="1" readingOrder="1"/>
    </xf>
    <xf numFmtId="0" fontId="63" fillId="0" borderId="0" xfId="0" applyNumberFormat="1" applyFont="1" applyAlignment="1" applyProtection="1">
      <alignment horizontal="right" vertical="top" wrapText="1" shrinkToFit="1" readingOrder="1"/>
    </xf>
    <xf numFmtId="0" fontId="64" fillId="0" borderId="0" xfId="0" applyNumberFormat="1" applyFont="1" applyAlignment="1" applyProtection="1">
      <alignment horizontal="center" vertical="top" wrapText="1" shrinkToFit="1" readingOrder="1"/>
    </xf>
    <xf numFmtId="0" fontId="66" fillId="16" borderId="67" xfId="0" applyNumberFormat="1" applyFont="1" applyFill="1" applyBorder="1" applyAlignment="1" applyProtection="1">
      <alignment horizontal="center" vertical="center" wrapText="1" shrinkToFit="1" readingOrder="1"/>
    </xf>
    <xf numFmtId="0" fontId="66" fillId="25" borderId="67" xfId="0" applyNumberFormat="1" applyFont="1" applyFill="1" applyBorder="1" applyAlignment="1" applyProtection="1">
      <alignment horizontal="center" vertical="center" wrapText="1" shrinkToFit="1" readingOrder="1"/>
    </xf>
    <xf numFmtId="49" fontId="67" fillId="26" borderId="0" xfId="0" applyNumberFormat="1" applyFont="1" applyFill="1" applyAlignment="1" applyProtection="1">
      <alignment horizontal="left" vertical="center" wrapText="1" shrinkToFit="1" readingOrder="1"/>
    </xf>
    <xf numFmtId="4" fontId="68" fillId="26" borderId="0" xfId="0" applyNumberFormat="1" applyFont="1" applyFill="1" applyAlignment="1" applyProtection="1">
      <alignment horizontal="right" vertical="center" wrapText="1" shrinkToFit="1" readingOrder="1"/>
    </xf>
    <xf numFmtId="0" fontId="65" fillId="0" borderId="0" xfId="0" applyNumberFormat="1" applyFont="1" applyAlignment="1" applyProtection="1">
      <alignment horizontal="center" vertical="top" wrapText="1" shrinkToFit="1" readingOrder="1"/>
    </xf>
    <xf numFmtId="0" fontId="66" fillId="25" borderId="64" xfId="0" applyNumberFormat="1" applyFont="1" applyFill="1" applyBorder="1" applyAlignment="1" applyProtection="1">
      <alignment horizontal="left" vertical="top" wrapText="1" shrinkToFit="1" readingOrder="1"/>
    </xf>
    <xf numFmtId="0" fontId="66" fillId="25" borderId="65" xfId="0" applyNumberFormat="1" applyFont="1" applyFill="1" applyBorder="1" applyAlignment="1" applyProtection="1">
      <alignment horizontal="center" vertical="center" wrapText="1" shrinkToFit="1" readingOrder="1"/>
    </xf>
    <xf numFmtId="49" fontId="69" fillId="0" borderId="0" xfId="0" applyNumberFormat="1" applyFont="1" applyAlignment="1" applyProtection="1">
      <alignment horizontal="left" vertical="center" wrapText="1" shrinkToFit="1" readingOrder="1"/>
    </xf>
    <xf numFmtId="4" fontId="68" fillId="0" borderId="0" xfId="0" applyNumberFormat="1" applyFont="1" applyAlignment="1" applyProtection="1">
      <alignment horizontal="right" vertical="center" wrapText="1" shrinkToFit="1" readingOrder="1"/>
    </xf>
    <xf numFmtId="49" fontId="67" fillId="0" borderId="0" xfId="0" applyNumberFormat="1" applyFont="1" applyAlignment="1" applyProtection="1">
      <alignment horizontal="left" vertical="center" wrapText="1" shrinkToFit="1" readingOrder="1"/>
    </xf>
    <xf numFmtId="49" fontId="69" fillId="26" borderId="0" xfId="0" applyNumberFormat="1" applyFont="1" applyFill="1" applyAlignment="1" applyProtection="1">
      <alignment horizontal="left" vertical="center" wrapText="1" shrinkToFit="1" readingOrder="1"/>
    </xf>
    <xf numFmtId="49" fontId="69" fillId="0" borderId="0" xfId="0" applyNumberFormat="1" applyFont="1" applyAlignment="1" applyProtection="1">
      <alignment horizontal="right" vertical="top" wrapText="1" shrinkToFit="1" readingOrder="1"/>
    </xf>
    <xf numFmtId="0" fontId="86" fillId="62" borderId="0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 vertical="center"/>
      <protection locked="0"/>
    </xf>
    <xf numFmtId="0" fontId="49" fillId="20" borderId="12" xfId="0" applyFont="1" applyFill="1" applyBorder="1" applyAlignment="1" applyProtection="1">
      <alignment horizontal="center" vertical="center" wrapText="1"/>
    </xf>
    <xf numFmtId="0" fontId="49" fillId="20" borderId="13" xfId="0" applyFont="1" applyFill="1" applyBorder="1" applyAlignment="1" applyProtection="1">
      <alignment horizontal="center" vertical="center" wrapText="1"/>
    </xf>
    <xf numFmtId="0" fontId="49" fillId="20" borderId="14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4" fillId="11" borderId="11" xfId="0" applyFont="1" applyFill="1" applyBorder="1" applyAlignment="1" applyProtection="1">
      <alignment horizontal="left" vertical="center"/>
      <protection locked="0"/>
    </xf>
    <xf numFmtId="0" fontId="24" fillId="11" borderId="8" xfId="0" applyFont="1" applyFill="1" applyBorder="1" applyAlignment="1" applyProtection="1">
      <alignment horizontal="left" vertical="center"/>
      <protection locked="0"/>
    </xf>
    <xf numFmtId="0" fontId="24" fillId="11" borderId="3" xfId="0" applyFont="1" applyFill="1" applyBorder="1" applyAlignment="1" applyProtection="1">
      <alignment horizontal="left" vertical="center"/>
      <protection locked="0"/>
    </xf>
    <xf numFmtId="41" fontId="28" fillId="5" borderId="48" xfId="0" applyNumberFormat="1" applyFont="1" applyFill="1" applyBorder="1" applyAlignment="1" applyProtection="1">
      <alignment horizontal="center" vertical="center" wrapText="1"/>
    </xf>
    <xf numFmtId="41" fontId="28" fillId="5" borderId="4" xfId="0" applyNumberFormat="1" applyFont="1" applyFill="1" applyBorder="1" applyAlignment="1" applyProtection="1">
      <alignment horizontal="center" vertical="center" wrapText="1"/>
    </xf>
    <xf numFmtId="0" fontId="24" fillId="11" borderId="12" xfId="0" applyFont="1" applyFill="1" applyBorder="1" applyAlignment="1" applyProtection="1">
      <alignment horizontal="center" vertical="center" wrapText="1"/>
    </xf>
    <xf numFmtId="0" fontId="24" fillId="11" borderId="14" xfId="0" applyFont="1" applyFill="1" applyBorder="1" applyAlignment="1" applyProtection="1">
      <alignment horizontal="center" vertical="center" wrapText="1"/>
    </xf>
    <xf numFmtId="0" fontId="24" fillId="11" borderId="18" xfId="0" applyFont="1" applyFill="1" applyBorder="1" applyAlignment="1" applyProtection="1">
      <alignment horizontal="center" vertical="center" wrapText="1"/>
    </xf>
    <xf numFmtId="0" fontId="24" fillId="11" borderId="20" xfId="0" applyFont="1" applyFill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horizontal="left" vertical="center" wrapText="1"/>
    </xf>
    <xf numFmtId="165" fontId="24" fillId="11" borderId="1" xfId="0" applyNumberFormat="1" applyFont="1" applyFill="1" applyBorder="1" applyAlignment="1" applyProtection="1">
      <alignment horizontal="center" vertical="center" wrapText="1"/>
    </xf>
    <xf numFmtId="41" fontId="24" fillId="11" borderId="48" xfId="0" applyNumberFormat="1" applyFont="1" applyFill="1" applyBorder="1" applyAlignment="1" applyProtection="1">
      <alignment horizontal="center" vertical="center" wrapText="1"/>
    </xf>
    <xf numFmtId="41" fontId="24" fillId="11" borderId="4" xfId="0" applyNumberFormat="1" applyFont="1" applyFill="1" applyBorder="1" applyAlignment="1" applyProtection="1">
      <alignment horizontal="center" vertical="center" wrapText="1"/>
    </xf>
    <xf numFmtId="0" fontId="24" fillId="11" borderId="11" xfId="0" applyFont="1" applyFill="1" applyBorder="1" applyAlignment="1" applyProtection="1">
      <alignment horizontal="left" vertical="center" wrapText="1"/>
      <protection locked="0"/>
    </xf>
    <xf numFmtId="0" fontId="24" fillId="11" borderId="8" xfId="0" applyFont="1" applyFill="1" applyBorder="1" applyAlignment="1" applyProtection="1">
      <alignment horizontal="left" vertical="center" wrapText="1"/>
      <protection locked="0"/>
    </xf>
    <xf numFmtId="0" fontId="24" fillId="11" borderId="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8" fillId="2" borderId="13" xfId="0" applyFont="1" applyFill="1" applyBorder="1" applyAlignment="1" applyProtection="1">
      <alignment horizontal="left" vertical="center"/>
      <protection locked="0"/>
    </xf>
    <xf numFmtId="0" fontId="95" fillId="0" borderId="0" xfId="0" applyNumberFormat="1" applyFont="1" applyAlignment="1">
      <alignment horizontal="left" vertical="top" wrapText="1" shrinkToFit="1" readingOrder="1"/>
    </xf>
    <xf numFmtId="49" fontId="95" fillId="0" borderId="0" xfId="0" applyNumberFormat="1" applyFont="1" applyAlignment="1">
      <alignment horizontal="right" vertical="top" wrapText="1" shrinkToFit="1" readingOrder="1"/>
    </xf>
    <xf numFmtId="0" fontId="94" fillId="0" borderId="0" xfId="0" applyNumberFormat="1" applyFont="1" applyAlignment="1">
      <alignment horizontal="left" vertical="center" wrapText="1" shrinkToFit="1" readingOrder="1"/>
    </xf>
    <xf numFmtId="0" fontId="94" fillId="0" borderId="0" xfId="0" applyNumberFormat="1" applyFont="1" applyAlignment="1">
      <alignment horizontal="right" vertical="center" wrapText="1" shrinkToFit="1" readingOrder="1"/>
    </xf>
    <xf numFmtId="49" fontId="90" fillId="0" borderId="78" xfId="0" applyNumberFormat="1" applyFont="1" applyBorder="1" applyAlignment="1">
      <alignment horizontal="left" vertical="center" wrapText="1" indent="5" shrinkToFit="1" readingOrder="1"/>
    </xf>
    <xf numFmtId="4" fontId="90" fillId="0" borderId="65" xfId="0" applyNumberFormat="1" applyFont="1" applyBorder="1" applyAlignment="1">
      <alignment horizontal="right" vertical="center" wrapText="1" shrinkToFit="1" readingOrder="1"/>
    </xf>
    <xf numFmtId="49" fontId="93" fillId="0" borderId="78" xfId="0" applyNumberFormat="1" applyFont="1" applyBorder="1" applyAlignment="1">
      <alignment horizontal="left" vertical="center" wrapText="1" indent="7" shrinkToFit="1" readingOrder="1"/>
    </xf>
    <xf numFmtId="4" fontId="93" fillId="0" borderId="65" xfId="0" applyNumberFormat="1" applyFont="1" applyBorder="1" applyAlignment="1">
      <alignment horizontal="right" vertical="center" wrapText="1" shrinkToFit="1" readingOrder="1"/>
    </xf>
    <xf numFmtId="49" fontId="90" fillId="0" borderId="78" xfId="0" applyNumberFormat="1" applyFont="1" applyBorder="1" applyAlignment="1">
      <alignment horizontal="left" vertical="center" wrapText="1" indent="3" shrinkToFit="1" readingOrder="1"/>
    </xf>
    <xf numFmtId="49" fontId="93" fillId="0" borderId="78" xfId="0" applyNumberFormat="1" applyFont="1" applyBorder="1" applyAlignment="1">
      <alignment horizontal="left" vertical="center" wrapText="1" indent="5" shrinkToFit="1" readingOrder="1"/>
    </xf>
    <xf numFmtId="49" fontId="90" fillId="0" borderId="78" xfId="0" applyNumberFormat="1" applyFont="1" applyBorder="1" applyAlignment="1">
      <alignment horizontal="left" vertical="center" wrapText="1" indent="1" shrinkToFit="1" readingOrder="1"/>
    </xf>
    <xf numFmtId="49" fontId="93" fillId="0" borderId="78" xfId="0" applyNumberFormat="1" applyFont="1" applyBorder="1" applyAlignment="1">
      <alignment horizontal="left" vertical="center" wrapText="1" indent="10" shrinkToFit="1" readingOrder="1"/>
    </xf>
    <xf numFmtId="49" fontId="90" fillId="0" borderId="78" xfId="0" applyNumberFormat="1" applyFont="1" applyBorder="1" applyAlignment="1">
      <alignment horizontal="left" vertical="center" wrapText="1" indent="7" shrinkToFit="1" readingOrder="1"/>
    </xf>
    <xf numFmtId="49" fontId="90" fillId="0" borderId="78" xfId="0" applyNumberFormat="1" applyFont="1" applyBorder="1" applyAlignment="1">
      <alignment horizontal="left" vertical="center" wrapText="1" shrinkToFit="1" readingOrder="1"/>
    </xf>
    <xf numFmtId="0" fontId="89" fillId="63" borderId="0" xfId="0" applyNumberFormat="1" applyFont="1" applyFill="1" applyAlignment="1">
      <alignment horizontal="left" vertical="top" wrapText="1" shrinkToFit="1" readingOrder="1"/>
    </xf>
    <xf numFmtId="0" fontId="92" fillId="25" borderId="0" xfId="0" applyNumberFormat="1" applyFont="1" applyFill="1" applyAlignment="1">
      <alignment horizontal="left" vertical="top" wrapText="1" shrinkToFit="1" readingOrder="1"/>
    </xf>
    <xf numFmtId="0" fontId="92" fillId="25" borderId="0" xfId="0" applyNumberFormat="1" applyFont="1" applyFill="1" applyAlignment="1">
      <alignment horizontal="right" vertical="top" wrapText="1" shrinkToFit="1" readingOrder="1"/>
    </xf>
    <xf numFmtId="0" fontId="87" fillId="0" borderId="0" xfId="0" applyNumberFormat="1" applyFont="1" applyAlignment="1">
      <alignment horizontal="left" vertical="top" wrapText="1" shrinkToFit="1" readingOrder="1"/>
    </xf>
    <xf numFmtId="0" fontId="90" fillId="0" borderId="0" xfId="0" applyNumberFormat="1" applyFont="1" applyAlignment="1">
      <alignment horizontal="right" vertical="top" wrapText="1" shrinkToFit="1" readingOrder="1"/>
    </xf>
    <xf numFmtId="0" fontId="88" fillId="0" borderId="0" xfId="0" applyNumberFormat="1" applyFont="1" applyAlignment="1">
      <alignment horizontal="left" vertical="top" wrapText="1" shrinkToFit="1" readingOrder="1"/>
    </xf>
    <xf numFmtId="0" fontId="89" fillId="25" borderId="0" xfId="0" applyNumberFormat="1" applyFont="1" applyFill="1" applyAlignment="1">
      <alignment horizontal="left" vertical="top" wrapText="1" shrinkToFit="1" readingOrder="1"/>
    </xf>
    <xf numFmtId="0" fontId="91" fillId="0" borderId="0" xfId="0" applyNumberFormat="1" applyFont="1" applyAlignment="1">
      <alignment horizontal="center" vertical="top" wrapText="1" shrinkToFit="1" readingOrder="1"/>
    </xf>
    <xf numFmtId="0" fontId="97" fillId="62" borderId="12" xfId="0" applyFont="1" applyFill="1" applyBorder="1" applyAlignment="1" applyProtection="1">
      <alignment horizontal="center" wrapText="1"/>
      <protection locked="0"/>
    </xf>
    <xf numFmtId="0" fontId="97" fillId="62" borderId="13" xfId="0" applyFont="1" applyFill="1" applyBorder="1" applyAlignment="1" applyProtection="1">
      <alignment horizontal="center" wrapText="1"/>
      <protection locked="0"/>
    </xf>
    <xf numFmtId="0" fontId="97" fillId="62" borderId="14" xfId="0" applyFont="1" applyFill="1" applyBorder="1" applyAlignment="1" applyProtection="1">
      <alignment horizontal="center" wrapText="1"/>
      <protection locked="0"/>
    </xf>
    <xf numFmtId="0" fontId="2" fillId="12" borderId="2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horizontal="center" vertical="center" wrapText="1"/>
    </xf>
    <xf numFmtId="0" fontId="3" fillId="20" borderId="12" xfId="0" applyFont="1" applyFill="1" applyBorder="1" applyAlignment="1" applyProtection="1">
      <alignment horizontal="center" vertical="center" wrapText="1"/>
    </xf>
    <xf numFmtId="0" fontId="3" fillId="20" borderId="13" xfId="0" applyFont="1" applyFill="1" applyBorder="1" applyAlignment="1" applyProtection="1">
      <alignment horizontal="center" vertical="center" wrapText="1"/>
    </xf>
    <xf numFmtId="0" fontId="3" fillId="20" borderId="14" xfId="0" applyFont="1" applyFill="1" applyBorder="1" applyAlignment="1" applyProtection="1">
      <alignment horizontal="center" vertical="center" wrapText="1"/>
    </xf>
    <xf numFmtId="0" fontId="3" fillId="20" borderId="18" xfId="0" applyFont="1" applyFill="1" applyBorder="1" applyAlignment="1" applyProtection="1">
      <alignment horizontal="center" vertical="center" wrapText="1"/>
    </xf>
    <xf numFmtId="0" fontId="3" fillId="20" borderId="19" xfId="0" applyFont="1" applyFill="1" applyBorder="1" applyAlignment="1" applyProtection="1">
      <alignment horizontal="center" vertical="center" wrapText="1"/>
    </xf>
    <xf numFmtId="0" fontId="3" fillId="20" borderId="20" xfId="0" applyFont="1" applyFill="1" applyBorder="1" applyAlignment="1" applyProtection="1">
      <alignment horizontal="center" vertical="center" wrapText="1"/>
    </xf>
    <xf numFmtId="0" fontId="14" fillId="62" borderId="17" xfId="0" applyFont="1" applyFill="1" applyBorder="1" applyAlignment="1" applyProtection="1">
      <alignment horizontal="left" vertical="center" wrapText="1"/>
      <protection locked="0"/>
    </xf>
    <xf numFmtId="0" fontId="14" fillId="62" borderId="0" xfId="0" applyFont="1" applyFill="1" applyBorder="1" applyAlignment="1" applyProtection="1">
      <alignment horizontal="left" vertical="center" wrapText="1"/>
      <protection locked="0"/>
    </xf>
    <xf numFmtId="0" fontId="14" fillId="62" borderId="57" xfId="0" applyFont="1" applyFill="1" applyBorder="1" applyAlignment="1" applyProtection="1">
      <alignment horizontal="left" vertical="center" wrapText="1"/>
      <protection locked="0"/>
    </xf>
    <xf numFmtId="0" fontId="14" fillId="62" borderId="18" xfId="0" applyFont="1" applyFill="1" applyBorder="1" applyAlignment="1" applyProtection="1">
      <alignment horizontal="left" vertical="center" wrapText="1"/>
      <protection locked="0"/>
    </xf>
    <xf numFmtId="0" fontId="14" fillId="62" borderId="19" xfId="0" applyFont="1" applyFill="1" applyBorder="1" applyAlignment="1" applyProtection="1">
      <alignment horizontal="left" vertical="center" wrapText="1"/>
      <protection locked="0"/>
    </xf>
    <xf numFmtId="0" fontId="14" fillId="62" borderId="20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57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 textRotation="90"/>
    </xf>
    <xf numFmtId="41" fontId="24" fillId="11" borderId="1" xfId="0" applyNumberFormat="1" applyFont="1" applyFill="1" applyBorder="1" applyAlignment="1" applyProtection="1">
      <alignment horizontal="center" vertical="center" wrapText="1"/>
    </xf>
    <xf numFmtId="0" fontId="24" fillId="11" borderId="3" xfId="0" applyFont="1" applyFill="1" applyBorder="1" applyAlignment="1" applyProtection="1">
      <alignment horizontal="center" vertical="center" textRotation="90"/>
    </xf>
    <xf numFmtId="0" fontId="22" fillId="2" borderId="1" xfId="0" applyFont="1" applyFill="1" applyBorder="1" applyAlignment="1" applyProtection="1">
      <alignment horizontal="left" vertical="center"/>
    </xf>
    <xf numFmtId="41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2" borderId="50" xfId="0" applyFont="1" applyFill="1" applyBorder="1" applyAlignment="1" applyProtection="1">
      <alignment horizontal="center" vertical="center" wrapText="1"/>
      <protection locked="0"/>
    </xf>
    <xf numFmtId="0" fontId="2" fillId="12" borderId="51" xfId="0" applyFont="1" applyFill="1" applyBorder="1" applyAlignment="1" applyProtection="1">
      <alignment horizontal="center" vertical="center" wrapText="1"/>
      <protection locked="0"/>
    </xf>
    <xf numFmtId="0" fontId="2" fillId="12" borderId="52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" fillId="12" borderId="0" xfId="0" applyFont="1" applyFill="1" applyBorder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49" xfId="0" applyFont="1" applyFill="1" applyBorder="1" applyAlignment="1" applyProtection="1">
      <alignment horizontal="center" vertical="center" wrapText="1"/>
      <protection locked="0"/>
    </xf>
    <xf numFmtId="0" fontId="2" fillId="12" borderId="55" xfId="0" applyFont="1" applyFill="1" applyBorder="1" applyAlignment="1" applyProtection="1">
      <alignment horizontal="center" vertical="center" wrapText="1"/>
      <protection locked="0"/>
    </xf>
    <xf numFmtId="41" fontId="24" fillId="11" borderId="1" xfId="0" applyNumberFormat="1" applyFont="1" applyFill="1" applyBorder="1" applyAlignment="1" applyProtection="1">
      <alignment horizontal="left" vertical="center" wrapText="1"/>
    </xf>
    <xf numFmtId="0" fontId="24" fillId="14" borderId="17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/>
    </xf>
    <xf numFmtId="9" fontId="21" fillId="14" borderId="35" xfId="1" applyFont="1" applyFill="1" applyBorder="1" applyAlignment="1">
      <alignment horizontal="center" vertical="center"/>
    </xf>
    <xf numFmtId="49" fontId="21" fillId="14" borderId="35" xfId="2" applyNumberFormat="1" applyFont="1" applyFill="1" applyBorder="1" applyAlignment="1">
      <alignment horizontal="center" vertical="center"/>
    </xf>
    <xf numFmtId="49" fontId="21" fillId="14" borderId="45" xfId="2" applyNumberFormat="1" applyFont="1" applyFill="1" applyBorder="1" applyAlignment="1">
      <alignment horizontal="center" vertical="center"/>
    </xf>
    <xf numFmtId="49" fontId="21" fillId="14" borderId="40" xfId="2" applyNumberFormat="1" applyFont="1" applyFill="1" applyBorder="1" applyAlignment="1">
      <alignment horizontal="center" vertical="center"/>
    </xf>
    <xf numFmtId="168" fontId="21" fillId="14" borderId="0" xfId="2" applyNumberFormat="1" applyFont="1" applyFill="1" applyBorder="1" applyAlignment="1">
      <alignment horizontal="center" vertical="center" wrapText="1"/>
    </xf>
    <xf numFmtId="49" fontId="21" fillId="14" borderId="45" xfId="2" applyNumberFormat="1" applyFont="1" applyFill="1" applyBorder="1" applyAlignment="1">
      <alignment horizontal="center" vertical="center" wrapText="1"/>
    </xf>
    <xf numFmtId="164" fontId="21" fillId="14" borderId="42" xfId="2" applyFont="1" applyFill="1" applyBorder="1" applyAlignment="1">
      <alignment horizontal="center" vertical="center"/>
    </xf>
    <xf numFmtId="164" fontId="21" fillId="14" borderId="46" xfId="2" applyFont="1" applyFill="1" applyBorder="1" applyAlignment="1">
      <alignment horizontal="center" vertical="center"/>
    </xf>
    <xf numFmtId="164" fontId="21" fillId="14" borderId="47" xfId="2" applyFont="1" applyFill="1" applyBorder="1" applyAlignment="1">
      <alignment horizontal="center" vertical="center"/>
    </xf>
    <xf numFmtId="164" fontId="21" fillId="14" borderId="36" xfId="2" applyFont="1" applyFill="1" applyBorder="1" applyAlignment="1">
      <alignment horizontal="center" vertical="center"/>
    </xf>
    <xf numFmtId="164" fontId="21" fillId="14" borderId="43" xfId="2" applyFont="1" applyFill="1" applyBorder="1" applyAlignment="1">
      <alignment horizontal="center" vertical="center"/>
    </xf>
    <xf numFmtId="164" fontId="21" fillId="14" borderId="44" xfId="2" applyFont="1" applyFill="1" applyBorder="1" applyAlignment="1">
      <alignment horizontal="center" vertical="center"/>
    </xf>
    <xf numFmtId="168" fontId="21" fillId="14" borderId="42" xfId="2" applyNumberFormat="1" applyFont="1" applyFill="1" applyBorder="1" applyAlignment="1">
      <alignment horizontal="center" vertical="center" wrapText="1"/>
    </xf>
    <xf numFmtId="168" fontId="21" fillId="14" borderId="36" xfId="2" applyNumberFormat="1" applyFont="1" applyFill="1" applyBorder="1" applyAlignment="1">
      <alignment horizontal="center" vertical="center" wrapText="1"/>
    </xf>
    <xf numFmtId="49" fontId="93" fillId="0" borderId="78" xfId="0" applyNumberFormat="1" applyFont="1" applyBorder="1" applyAlignment="1">
      <alignment horizontal="left" vertical="center" wrapText="1" indent="4" shrinkToFit="1" readingOrder="1"/>
    </xf>
    <xf numFmtId="49" fontId="93" fillId="0" borderId="78" xfId="0" applyNumberFormat="1" applyFont="1" applyBorder="1" applyAlignment="1">
      <alignment horizontal="left" vertical="center" wrapText="1" indent="9" shrinkToFit="1" readingOrder="1"/>
    </xf>
    <xf numFmtId="49" fontId="90" fillId="0" borderId="78" xfId="0" applyNumberFormat="1" applyFont="1" applyBorder="1" applyAlignment="1">
      <alignment horizontal="left" vertical="center" wrapText="1" indent="2" shrinkToFit="1" readingOrder="1"/>
    </xf>
    <xf numFmtId="49" fontId="90" fillId="0" borderId="78" xfId="0" applyNumberFormat="1" applyFont="1" applyBorder="1" applyAlignment="1">
      <alignment horizontal="left" vertical="center" wrapText="1" indent="4" shrinkToFit="1" readingOrder="1"/>
    </xf>
    <xf numFmtId="49" fontId="90" fillId="0" borderId="78" xfId="0" applyNumberFormat="1" applyFont="1" applyBorder="1" applyAlignment="1">
      <alignment horizontal="left" vertical="center" wrapText="1" indent="6" shrinkToFit="1" readingOrder="1"/>
    </xf>
    <xf numFmtId="49" fontId="93" fillId="0" borderId="78" xfId="0" applyNumberFormat="1" applyFont="1" applyBorder="1" applyAlignment="1">
      <alignment horizontal="left" vertical="center" wrapText="1" indent="6" shrinkToFit="1" readingOrder="1"/>
    </xf>
    <xf numFmtId="49" fontId="93" fillId="0" borderId="78" xfId="0" applyNumberFormat="1" applyFont="1" applyBorder="1" applyAlignment="1">
      <alignment horizontal="left" vertical="center" wrapText="1" indent="13" shrinkToFit="1" readingOrder="1"/>
    </xf>
    <xf numFmtId="49" fontId="90" fillId="0" borderId="78" xfId="0" applyNumberFormat="1" applyFont="1" applyBorder="1" applyAlignment="1">
      <alignment horizontal="left" vertical="center" wrapText="1" indent="9" shrinkToFit="1" readingOrder="1"/>
    </xf>
    <xf numFmtId="0" fontId="24" fillId="11" borderId="1" xfId="11" applyFont="1" applyFill="1" applyBorder="1" applyAlignment="1">
      <alignment horizontal="center" vertical="center" wrapText="1"/>
    </xf>
    <xf numFmtId="41" fontId="24" fillId="11" borderId="1" xfId="11" applyNumberFormat="1" applyFont="1" applyFill="1" applyBorder="1" applyAlignment="1">
      <alignment horizontal="center" vertical="center" wrapText="1"/>
    </xf>
    <xf numFmtId="41" fontId="24" fillId="11" borderId="48" xfId="11" applyNumberFormat="1" applyFont="1" applyFill="1" applyBorder="1" applyAlignment="1">
      <alignment horizontal="center" vertical="center" wrapText="1"/>
    </xf>
    <xf numFmtId="0" fontId="22" fillId="8" borderId="1" xfId="11" applyFont="1" applyFill="1" applyBorder="1" applyAlignment="1">
      <alignment horizontal="left" vertical="center" readingOrder="1"/>
    </xf>
    <xf numFmtId="0" fontId="22" fillId="9" borderId="1" xfId="11" applyFont="1" applyFill="1" applyBorder="1" applyAlignment="1">
      <alignment horizontal="left" vertical="center" wrapText="1" readingOrder="1"/>
    </xf>
    <xf numFmtId="0" fontId="22" fillId="10" borderId="1" xfId="11" applyFont="1" applyFill="1" applyBorder="1" applyAlignment="1">
      <alignment horizontal="left" vertical="center" wrapText="1" readingOrder="1"/>
    </xf>
    <xf numFmtId="0" fontId="24" fillId="11" borderId="1" xfId="11" applyFont="1" applyFill="1" applyBorder="1" applyAlignment="1">
      <alignment horizontal="right"/>
    </xf>
    <xf numFmtId="0" fontId="24" fillId="11" borderId="1" xfId="11" applyFont="1" applyFill="1" applyBorder="1" applyAlignment="1">
      <alignment horizontal="center" vertical="center" wrapText="1" readingOrder="1"/>
    </xf>
    <xf numFmtId="0" fontId="24" fillId="11" borderId="48" xfId="11" applyFont="1" applyFill="1" applyBorder="1" applyAlignment="1">
      <alignment horizontal="center" vertical="center" wrapText="1" readingOrder="1"/>
    </xf>
    <xf numFmtId="0" fontId="67" fillId="0" borderId="0" xfId="0" applyNumberFormat="1" applyFont="1" applyAlignment="1" applyProtection="1">
      <alignment horizontal="right" vertical="center" wrapText="1" shrinkToFit="1" readingOrder="1"/>
    </xf>
    <xf numFmtId="4" fontId="67" fillId="0" borderId="0" xfId="0" applyNumberFormat="1" applyFont="1" applyAlignment="1" applyProtection="1">
      <alignment horizontal="right" vertical="center" wrapText="1" shrinkToFit="1" readingOrder="1"/>
    </xf>
    <xf numFmtId="0" fontId="67" fillId="26" borderId="0" xfId="0" applyNumberFormat="1" applyFont="1" applyFill="1" applyAlignment="1" applyProtection="1">
      <alignment horizontal="right" vertical="center" wrapText="1" shrinkToFit="1" readingOrder="1"/>
    </xf>
    <xf numFmtId="4" fontId="67" fillId="26" borderId="0" xfId="0" applyNumberFormat="1" applyFont="1" applyFill="1" applyAlignment="1" applyProtection="1">
      <alignment horizontal="right" vertical="center" wrapText="1" shrinkToFit="1" readingOrder="1"/>
    </xf>
    <xf numFmtId="0" fontId="66" fillId="28" borderId="0" xfId="0" applyNumberFormat="1" applyFont="1" applyFill="1" applyAlignment="1" applyProtection="1">
      <alignment horizontal="left" vertical="top" wrapText="1" shrinkToFit="1" readingOrder="1"/>
    </xf>
    <xf numFmtId="0" fontId="66" fillId="25" borderId="0" xfId="0" applyNumberFormat="1" applyFont="1" applyFill="1" applyAlignment="1" applyProtection="1">
      <alignment horizontal="left" vertical="center" wrapText="1" shrinkToFit="1" readingOrder="1"/>
    </xf>
    <xf numFmtId="0" fontId="66" fillId="25" borderId="0" xfId="0" applyNumberFormat="1" applyFont="1" applyFill="1" applyAlignment="1" applyProtection="1">
      <alignment horizontal="right" vertical="center" wrapText="1" shrinkToFit="1" readingOrder="1"/>
    </xf>
    <xf numFmtId="49" fontId="70" fillId="0" borderId="0" xfId="0" applyNumberFormat="1" applyFont="1" applyAlignment="1" applyProtection="1">
      <alignment horizontal="left" vertical="center" wrapText="1" shrinkToFit="1" readingOrder="1"/>
    </xf>
    <xf numFmtId="0" fontId="70" fillId="0" borderId="0" xfId="0" applyNumberFormat="1" applyFont="1" applyAlignment="1" applyProtection="1">
      <alignment horizontal="right" vertical="center" wrapText="1" shrinkToFit="1" readingOrder="1"/>
    </xf>
    <xf numFmtId="4" fontId="70" fillId="0" borderId="0" xfId="0" applyNumberFormat="1" applyFont="1" applyAlignment="1" applyProtection="1">
      <alignment horizontal="right" vertical="center" wrapText="1" shrinkToFit="1" readingOrder="1"/>
    </xf>
    <xf numFmtId="0" fontId="66" fillId="16" borderId="0" xfId="0" applyNumberFormat="1" applyFont="1" applyFill="1" applyAlignment="1" applyProtection="1">
      <alignment horizontal="right" vertical="center" wrapText="1" shrinkToFit="1" readingOrder="1"/>
    </xf>
    <xf numFmtId="49" fontId="70" fillId="26" borderId="0" xfId="0" applyNumberFormat="1" applyFont="1" applyFill="1" applyAlignment="1" applyProtection="1">
      <alignment horizontal="left" vertical="center" wrapText="1" shrinkToFit="1" readingOrder="1"/>
    </xf>
    <xf numFmtId="0" fontId="70" fillId="26" borderId="0" xfId="0" applyNumberFormat="1" applyFont="1" applyFill="1" applyAlignment="1" applyProtection="1">
      <alignment horizontal="right" vertical="center" wrapText="1" shrinkToFit="1" readingOrder="1"/>
    </xf>
    <xf numFmtId="4" fontId="70" fillId="26" borderId="0" xfId="0" applyNumberFormat="1" applyFont="1" applyFill="1" applyAlignment="1" applyProtection="1">
      <alignment horizontal="right" vertical="center" wrapText="1" shrinkToFit="1" readingOrder="1"/>
    </xf>
    <xf numFmtId="4" fontId="67" fillId="16" borderId="0" xfId="0" applyNumberFormat="1" applyFont="1" applyFill="1" applyAlignment="1" applyProtection="1">
      <alignment horizontal="right" vertical="center" wrapText="1" shrinkToFit="1" readingOrder="1"/>
    </xf>
    <xf numFmtId="0" fontId="69" fillId="0" borderId="0" xfId="0" applyNumberFormat="1" applyFont="1" applyAlignment="1" applyProtection="1">
      <alignment horizontal="left" vertical="top" wrapText="1" shrinkToFit="1" readingOrder="1"/>
    </xf>
    <xf numFmtId="0" fontId="26" fillId="0" borderId="0" xfId="0" applyFont="1" applyFill="1" applyProtection="1">
      <protection locked="0"/>
    </xf>
    <xf numFmtId="41" fontId="24" fillId="0" borderId="0" xfId="0" applyNumberFormat="1" applyFont="1" applyFill="1" applyBorder="1" applyAlignment="1" applyProtection="1">
      <alignment horizontal="center" vertical="center" wrapText="1"/>
    </xf>
    <xf numFmtId="164" fontId="24" fillId="0" borderId="0" xfId="2" applyNumberFormat="1" applyFont="1" applyFill="1" applyBorder="1" applyAlignment="1" applyProtection="1">
      <alignment horizontal="left" vertical="center" wrapText="1"/>
    </xf>
    <xf numFmtId="167" fontId="24" fillId="0" borderId="0" xfId="2" applyNumberFormat="1" applyFont="1" applyFill="1" applyBorder="1" applyAlignment="1" applyProtection="1">
      <alignment horizontal="left" vertical="center" wrapText="1"/>
      <protection locked="0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166" fontId="24" fillId="0" borderId="0" xfId="1" applyNumberFormat="1" applyFont="1" applyFill="1" applyBorder="1" applyAlignment="1" applyProtection="1">
      <alignment horizontal="right" vertical="center" wrapText="1"/>
    </xf>
    <xf numFmtId="9" fontId="23" fillId="0" borderId="1" xfId="1" applyFont="1" applyFill="1" applyBorder="1" applyAlignment="1">
      <alignment horizontal="center" vertical="center" wrapText="1"/>
    </xf>
    <xf numFmtId="166" fontId="23" fillId="0" borderId="0" xfId="1" applyNumberFormat="1" applyFont="1" applyFill="1" applyBorder="1" applyAlignment="1" applyProtection="1">
      <alignment horizontal="center" vertical="center" wrapText="1"/>
    </xf>
    <xf numFmtId="2" fontId="23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48" xfId="1" applyNumberFormat="1" applyFont="1" applyFill="1" applyBorder="1" applyAlignment="1">
      <alignment horizontal="center" vertical="center" wrapText="1"/>
    </xf>
    <xf numFmtId="2" fontId="23" fillId="0" borderId="0" xfId="1" applyNumberFormat="1" applyFont="1" applyFill="1" applyBorder="1" applyAlignment="1" applyProtection="1">
      <alignment horizontal="center" vertical="center" wrapText="1"/>
    </xf>
    <xf numFmtId="2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59" xfId="1" applyNumberFormat="1" applyFont="1" applyFill="1" applyBorder="1" applyAlignment="1">
      <alignment horizontal="center" vertical="center" wrapText="1"/>
    </xf>
    <xf numFmtId="170" fontId="23" fillId="0" borderId="0" xfId="1" applyNumberFormat="1" applyFont="1" applyFill="1" applyBorder="1" applyAlignment="1" applyProtection="1">
      <alignment horizontal="center" vertical="center" wrapText="1"/>
    </xf>
    <xf numFmtId="165" fontId="23" fillId="0" borderId="0" xfId="1" applyNumberFormat="1" applyFont="1" applyFill="1" applyBorder="1" applyAlignment="1" applyProtection="1">
      <alignment horizontal="center" vertical="center" wrapText="1"/>
    </xf>
    <xf numFmtId="2" fontId="23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64">
    <cellStyle name="20% - Ênfase1" xfId="35" builtinId="30" customBuiltin="1"/>
    <cellStyle name="20% - Ênfase2" xfId="38" builtinId="34" customBuiltin="1"/>
    <cellStyle name="20% - Ênfase3" xfId="41" builtinId="38" customBuiltin="1"/>
    <cellStyle name="20% - Ênfase4" xfId="44" builtinId="42" customBuiltin="1"/>
    <cellStyle name="20% - Ênfase5" xfId="47" builtinId="46" customBuiltin="1"/>
    <cellStyle name="20% - Ênfase6" xfId="50" builtinId="50" customBuiltin="1"/>
    <cellStyle name="40% - Ênfase1" xfId="36" builtinId="31" customBuiltin="1"/>
    <cellStyle name="40% - Ênfase2" xfId="39" builtinId="35" customBuiltin="1"/>
    <cellStyle name="40% - Ênfase3" xfId="42" builtinId="39" customBuiltin="1"/>
    <cellStyle name="40% - Ênfase4" xfId="45" builtinId="43" customBuiltin="1"/>
    <cellStyle name="40% - Ênfase5" xfId="48" builtinId="47" customBuiltin="1"/>
    <cellStyle name="40% - Ênfase6" xfId="51" builtinId="51" customBuiltin="1"/>
    <cellStyle name="60% - Ênfase1 2" xfId="58"/>
    <cellStyle name="60% - Ênfase2 2" xfId="59"/>
    <cellStyle name="60% - Ênfase3 2" xfId="60"/>
    <cellStyle name="60% - Ênfase4 2" xfId="61"/>
    <cellStyle name="60% - Ênfase5 2" xfId="62"/>
    <cellStyle name="60% - Ênfase6 2" xfId="63"/>
    <cellStyle name="Bom" xfId="23" builtinId="26" customBuiltin="1"/>
    <cellStyle name="Cálculo" xfId="27" builtinId="22" customBuiltin="1"/>
    <cellStyle name="Célula de Verificação" xfId="29" builtinId="23" customBuiltin="1"/>
    <cellStyle name="Célula Vinculada" xfId="28" builtinId="24" customBuiltin="1"/>
    <cellStyle name="Ênfase1" xfId="34" builtinId="29" customBuiltin="1"/>
    <cellStyle name="Ênfase2" xfId="37" builtinId="33" customBuiltin="1"/>
    <cellStyle name="Ênfase3" xfId="40" builtinId="37" customBuiltin="1"/>
    <cellStyle name="Ênfase4" xfId="43" builtinId="41" customBuiltin="1"/>
    <cellStyle name="Ênfase5" xfId="46" builtinId="45" customBuiltin="1"/>
    <cellStyle name="Ênfase6" xfId="49" builtinId="49" customBuiltin="1"/>
    <cellStyle name="Entrada" xfId="25" builtinId="20" customBuiltin="1"/>
    <cellStyle name="Incorreto" xfId="24" builtinId="27" customBuiltin="1"/>
    <cellStyle name="Moeda 2" xfId="4"/>
    <cellStyle name="Moeda 2 2" xfId="52"/>
    <cellStyle name="Moeda 3" xfId="14"/>
    <cellStyle name="Neutra 2" xfId="57"/>
    <cellStyle name="Normal" xfId="0" builtinId="0"/>
    <cellStyle name="Normal 2" xfId="3"/>
    <cellStyle name="Normal 2 2" xfId="12"/>
    <cellStyle name="Normal 3" xfId="6"/>
    <cellStyle name="Normal 3 2" xfId="7"/>
    <cellStyle name="Normal 3 2 2" xfId="11"/>
    <cellStyle name="Normal 4" xfId="15"/>
    <cellStyle name="Normal 6" xfId="17"/>
    <cellStyle name="Nota" xfId="31" builtinId="10" customBuiltin="1"/>
    <cellStyle name="Porcentagem" xfId="1" builtinId="5"/>
    <cellStyle name="Porcentagem 2" xfId="10"/>
    <cellStyle name="Saída" xfId="26" builtinId="21" customBuiltin="1"/>
    <cellStyle name="Separador de milhares 2" xfId="13"/>
    <cellStyle name="Texto de Aviso" xfId="30" builtinId="11" customBuiltin="1"/>
    <cellStyle name="Texto Explicativo" xfId="32" builtinId="53" customBuiltin="1"/>
    <cellStyle name="Título" xfId="18" builtinId="15" customBuiltin="1"/>
    <cellStyle name="Título 1" xfId="19" builtinId="16" customBuiltin="1"/>
    <cellStyle name="Título 2" xfId="20" builtinId="17" customBuiltin="1"/>
    <cellStyle name="Título 3" xfId="21" builtinId="18" customBuiltin="1"/>
    <cellStyle name="Título 4" xfId="22" builtinId="19" customBuiltin="1"/>
    <cellStyle name="Total" xfId="33" builtinId="25" customBuiltin="1"/>
    <cellStyle name="Vírgula" xfId="2" builtinId="3"/>
    <cellStyle name="Vírgula 2" xfId="5"/>
    <cellStyle name="Vírgula 2 2" xfId="9"/>
    <cellStyle name="Vírgula 2 2 2" xfId="55"/>
    <cellStyle name="Vírgula 2 3" xfId="53"/>
    <cellStyle name="Vírgula 3" xfId="56"/>
    <cellStyle name="Vírgula 4" xfId="8"/>
    <cellStyle name="Vírgula 4 2" xfId="54"/>
    <cellStyle name="Vírgula 6" xfId="16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6FB7D"/>
      <color rgb="FFD1E3F3"/>
      <color rgb="FF5E9AA6"/>
      <color rgb="FFDEEBF6"/>
      <color rgb="FFE4F0F0"/>
      <color rgb="FF006871"/>
      <color rgb="FF5E9AC4"/>
      <color rgb="FFFFFADE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cau-br.implanta.net.br/siscont/despesa/demonstrativoempenhopagamento.aspx?cc=1#SiteMapPath1_SkipLink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" name="Imagem 2" descr="Pular Links de Navegaçã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38A0C23-A1EB-4418-84F8-F8FE330D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17</xdr:col>
      <xdr:colOff>247650</xdr:colOff>
      <xdr:row>5</xdr:row>
      <xdr:rowOff>0</xdr:rowOff>
    </xdr:to>
    <xdr:pic>
      <xdr:nvPicPr>
        <xdr:cNvPr id="2" name="Pictur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1666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1162050"/>
          <a:ext cx="4076700" cy="76200"/>
        </a:xfrm>
        <a:prstGeom prst="rect">
          <a:avLst/>
        </a:prstGeom>
        <a:noFill/>
        <a:ln w="3047" algn="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14</xdr:col>
      <xdr:colOff>0</xdr:colOff>
      <xdr:row>4</xdr:row>
      <xdr:rowOff>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4914900" y="0"/>
          <a:ext cx="2238375" cy="1066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13</xdr:col>
      <xdr:colOff>1171575</xdr:colOff>
      <xdr:row>5</xdr:row>
      <xdr:rowOff>76200</xdr:rowOff>
    </xdr:to>
    <xdr:sp macro="" textlink="">
      <xdr:nvSpPr>
        <xdr:cNvPr id="3" name="Rectangle 4"/>
        <xdr:cNvSpPr/>
      </xdr:nvSpPr>
      <xdr:spPr>
        <a:xfrm>
          <a:off x="0" y="1123950"/>
          <a:ext cx="7153275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13</xdr:col>
      <xdr:colOff>1171575</xdr:colOff>
      <xdr:row>13</xdr:row>
      <xdr:rowOff>66675</xdr:rowOff>
    </xdr:to>
    <xdr:sp macro="" textlink="">
      <xdr:nvSpPr>
        <xdr:cNvPr id="4" name="Rectangle 5"/>
        <xdr:cNvSpPr/>
      </xdr:nvSpPr>
      <xdr:spPr>
        <a:xfrm>
          <a:off x="0" y="2266950"/>
          <a:ext cx="7153275" cy="66675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174</xdr:row>
      <xdr:rowOff>0</xdr:rowOff>
    </xdr:to>
    <xdr:pic>
      <xdr:nvPicPr>
        <xdr:cNvPr id="5" name="Picture 2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666875" y="39033450"/>
          <a:ext cx="295275" cy="161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0</xdr:rowOff>
    </xdr:to>
    <xdr:pic>
      <xdr:nvPicPr>
        <xdr:cNvPr id="6" name="Picture 3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666875" y="39214425"/>
          <a:ext cx="295275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14</xdr:col>
      <xdr:colOff>0</xdr:colOff>
      <xdr:row>4</xdr:row>
      <xdr:rowOff>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4914900" y="0"/>
          <a:ext cx="2238375" cy="1066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13</xdr:col>
      <xdr:colOff>1171575</xdr:colOff>
      <xdr:row>5</xdr:row>
      <xdr:rowOff>76200</xdr:rowOff>
    </xdr:to>
    <xdr:sp macro="" textlink="">
      <xdr:nvSpPr>
        <xdr:cNvPr id="3" name="Rectangle 4"/>
        <xdr:cNvSpPr/>
      </xdr:nvSpPr>
      <xdr:spPr>
        <a:xfrm>
          <a:off x="0" y="1123950"/>
          <a:ext cx="7153275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13</xdr:col>
      <xdr:colOff>1171575</xdr:colOff>
      <xdr:row>13</xdr:row>
      <xdr:rowOff>66675</xdr:rowOff>
    </xdr:to>
    <xdr:sp macro="" textlink="">
      <xdr:nvSpPr>
        <xdr:cNvPr id="4" name="Rectangle 5"/>
        <xdr:cNvSpPr/>
      </xdr:nvSpPr>
      <xdr:spPr>
        <a:xfrm>
          <a:off x="0" y="2266950"/>
          <a:ext cx="7153275" cy="66675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0</xdr:colOff>
      <xdr:row>191</xdr:row>
      <xdr:rowOff>0</xdr:rowOff>
    </xdr:to>
    <xdr:pic>
      <xdr:nvPicPr>
        <xdr:cNvPr id="5" name="Picture 2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666875" y="43310175"/>
          <a:ext cx="295275" cy="161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0</xdr:colOff>
      <xdr:row>194</xdr:row>
      <xdr:rowOff>0</xdr:rowOff>
    </xdr:to>
    <xdr:pic>
      <xdr:nvPicPr>
        <xdr:cNvPr id="6" name="Picture 3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666875" y="43491150"/>
          <a:ext cx="295275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0"/>
          <a:ext cx="23050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0" y="1162050"/>
          <a:ext cx="10325100" cy="76200"/>
        </a:xfrm>
        <a:prstGeom prst="rect">
          <a:avLst/>
        </a:prstGeom>
        <a:noFill/>
        <a:ln w="3047" algn="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5</xdr:col>
      <xdr:colOff>0</xdr:colOff>
      <xdr:row>71</xdr:row>
      <xdr:rowOff>0</xdr:rowOff>
    </xdr:to>
    <xdr:pic>
      <xdr:nvPicPr>
        <xdr:cNvPr id="4" name="Picture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1615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4</xdr:col>
      <xdr:colOff>0</xdr:colOff>
      <xdr:row>73</xdr:row>
      <xdr:rowOff>0</xdr:rowOff>
    </xdr:to>
    <xdr:pic>
      <xdr:nvPicPr>
        <xdr:cNvPr id="5" name="Picture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5182850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s-caubr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ORIA%20DE%20PLANEJAMENTO%20E%20GESTAO%20DA%20ESTRATEGIA/2021/Reprograma&#231;&#227;o%202021/Parecer/Ordin&#225;ria/Vers&#227;o%20Final/Parecer%20da%20Reprograma&#231;&#227;o%202021%20CAU-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T%20PRESTA&#199;&#195;O%20DE%20CONTAS/2021/CAU%20UF/An&#225;lise%20das%20Presta&#231;&#245;es%20de%20Contas%20CAU%202021_%20GERFI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recer%20da%20Reprograma&#231;&#227;o%202021%20CAU-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Estudos-Percentuai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"/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."/>
      <sheetName val="AÇÕES ESTRATÉGICAS - DESCRI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>
        <row r="2">
          <cell r="J2" t="str">
            <v>PJ até 2 anos com sócio AU formado até 2 anos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36">
        <row r="5">
          <cell r="C5">
            <v>586</v>
          </cell>
        </row>
      </sheetData>
      <sheetData sheetId="37" refreshError="1"/>
      <sheetData sheetId="38">
        <row r="6">
          <cell r="AX6">
            <v>67439.888000000006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44" refreshError="1"/>
      <sheetData sheetId="45" refreshError="1"/>
      <sheetData sheetId="46" refreshError="1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 refreshError="1"/>
      <sheetData sheetId="51" refreshError="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Capa do Parecer"/>
      <sheetName val="Análise Geral"/>
      <sheetName val="Indicadores e Metas"/>
      <sheetName val="FORM.1"/>
      <sheetName val="FORM.2"/>
      <sheetName val="FORM.3"/>
      <sheetName val="FORM.4"/>
      <sheetName val="Conferência"/>
      <sheetName val="Mapa Estratégico e ODS"/>
      <sheetName val="Quadro Geral (2)"/>
      <sheetName val="PARECER"/>
      <sheetName val="FORM.1(rascunho)"/>
      <sheetName val="Resumo"/>
      <sheetName val="Anexo 4 - Funcionamento"/>
      <sheetName val="Anexo 4 - Fiscalização"/>
      <sheetName val="Anexo 4 - Pres. e Repres. Insti"/>
      <sheetName val="Anexo 4 - Atendimento"/>
      <sheetName val="Anexo 4 - Comunicação"/>
      <sheetName val="Anexo 4 - CSC_Fisc."/>
      <sheetName val="Anexo 4 - CSC_Atend"/>
      <sheetName val="Anexo 4 - Fundo de Ap"/>
      <sheetName val="Anexo 4 - Capacitação"/>
      <sheetName val="Anexo 4 - ATHIS"/>
      <sheetName val="Anexo 4 - Patrocínio"/>
      <sheetName val="AÇÕES ESTRATÉGICAS - DESCRIÇÃO "/>
    </sheetNames>
    <sheetDataSet>
      <sheetData sheetId="0"/>
      <sheetData sheetId="1"/>
      <sheetData sheetId="2"/>
      <sheetData sheetId="3">
        <row r="13">
          <cell r="F13">
            <v>0.6</v>
          </cell>
        </row>
        <row r="15">
          <cell r="F15">
            <v>0.2</v>
          </cell>
        </row>
        <row r="17">
          <cell r="F17">
            <v>0.22</v>
          </cell>
        </row>
        <row r="19">
          <cell r="F19">
            <v>1</v>
          </cell>
        </row>
        <row r="27">
          <cell r="F27">
            <v>0.3</v>
          </cell>
        </row>
        <row r="29">
          <cell r="F29">
            <v>0.5</v>
          </cell>
        </row>
        <row r="31">
          <cell r="F31">
            <v>0.5</v>
          </cell>
        </row>
        <row r="34">
          <cell r="F34">
            <v>0.8</v>
          </cell>
        </row>
        <row r="36">
          <cell r="F36">
            <v>0.9</v>
          </cell>
        </row>
        <row r="41">
          <cell r="F41">
            <v>1</v>
          </cell>
        </row>
        <row r="57">
          <cell r="F57">
            <v>42000</v>
          </cell>
        </row>
        <row r="71">
          <cell r="F71">
            <v>5.7456628477905074</v>
          </cell>
        </row>
        <row r="78">
          <cell r="F78">
            <v>547.26230034853768</v>
          </cell>
        </row>
        <row r="82">
          <cell r="F82">
            <v>1.5</v>
          </cell>
        </row>
        <row r="84">
          <cell r="F84">
            <v>26.5</v>
          </cell>
        </row>
        <row r="86">
          <cell r="F86">
            <v>56.3</v>
          </cell>
        </row>
      </sheetData>
      <sheetData sheetId="4">
        <row r="11">
          <cell r="F11">
            <v>3611383.9200000004</v>
          </cell>
        </row>
      </sheetData>
      <sheetData sheetId="5">
        <row r="9">
          <cell r="A9" t="str">
            <v>Gerência Geral</v>
          </cell>
          <cell r="B9" t="str">
            <v>A</v>
          </cell>
          <cell r="I9" t="str">
            <v xml:space="preserve">Contribuir pela melhoria das condições de trabalho do CAU/DF, de modo a garantir a continuidade das atividades operacionais. </v>
          </cell>
        </row>
        <row r="10">
          <cell r="A10" t="str">
            <v>Gerência de Fiscalização e Atendimento</v>
          </cell>
          <cell r="B10" t="str">
            <v>A</v>
          </cell>
          <cell r="I10" t="str">
            <v>Difundir as ações de fiscalização de modo a garantir melhoria no ambiente profissional.</v>
          </cell>
        </row>
        <row r="11">
          <cell r="A11" t="str">
            <v xml:space="preserve">Presidência </v>
          </cell>
          <cell r="B11" t="str">
            <v>A</v>
          </cell>
          <cell r="I11" t="str">
            <v>Assessorar à Presidência e ampliar a representatividade do CAU/DF junto as estruturas de Estado Local.</v>
          </cell>
        </row>
        <row r="12">
          <cell r="A12" t="str">
            <v>Gerência de Fiscalização e Atendimento</v>
          </cell>
          <cell r="B12" t="str">
            <v>A</v>
          </cell>
          <cell r="I12" t="str">
            <v>Contribuir para melhoria do atendimento aos profissionais da arquitetura e urbanismo e sociedades.</v>
          </cell>
        </row>
        <row r="13">
          <cell r="A13" t="str">
            <v>Assessoria de Comunicação e Imprensa</v>
          </cell>
          <cell r="B13" t="str">
            <v>A</v>
          </cell>
          <cell r="I13" t="str">
            <v>Ampliar a visibilidade e identificação visual do CAU/DF tanto a partir da confecção de materiais quanto pela participação ativa do conselho em eventos, plenárias e reuniões.</v>
          </cell>
        </row>
        <row r="14">
          <cell r="A14" t="str">
            <v>Gerência Geral</v>
          </cell>
          <cell r="B14" t="str">
            <v>A</v>
          </cell>
          <cell r="I14" t="str">
            <v>Desenvolver as habilidades do quadro funcional do CAU/DF.</v>
          </cell>
        </row>
        <row r="15">
          <cell r="A15" t="str">
            <v>Gerência de Tecnologia da Informação</v>
          </cell>
          <cell r="B15" t="str">
            <v>A</v>
          </cell>
          <cell r="I15" t="str">
            <v>Cumprimento da Resolução n° 157/2017 do CAU/BR.</v>
          </cell>
        </row>
        <row r="16">
          <cell r="A16" t="str">
            <v>Gerência de Tecnologia da Informação</v>
          </cell>
          <cell r="B16" t="str">
            <v>A</v>
          </cell>
          <cell r="I16" t="str">
            <v>Cumprimento da Resolução n° 157/2017 do CAU/BR.</v>
          </cell>
        </row>
        <row r="17">
          <cell r="A17" t="str">
            <v>Gerência de Administração e Finanças</v>
          </cell>
          <cell r="B17" t="str">
            <v>A</v>
          </cell>
          <cell r="I17" t="str">
            <v>Cumprimento da Resolução n° 119</v>
          </cell>
        </row>
        <row r="18">
          <cell r="A18" t="str">
            <v>Gerência Geral</v>
          </cell>
          <cell r="B18" t="str">
            <v>P</v>
          </cell>
          <cell r="I18" t="str">
            <v>Contribuir para a Melhoria da mentalidade social com relação a ocupação dos espaços urbanos.</v>
          </cell>
        </row>
        <row r="19">
          <cell r="A19" t="str">
            <v>Gerência Geral</v>
          </cell>
          <cell r="B19" t="str">
            <v>P</v>
          </cell>
          <cell r="I19" t="str">
            <v>Ampliar o alcance das ações educativas relacionadas a Arquitetura e Urbanismo, a partir da cooperação entre as diversas entidades da sociedade civil.</v>
          </cell>
        </row>
        <row r="20">
          <cell r="A20" t="str">
            <v>Gerência de Administração e Finanças</v>
          </cell>
          <cell r="B20" t="str">
            <v>A</v>
          </cell>
          <cell r="I20" t="str">
            <v>Atender com obrigações financeiras de carácter atípicas e intempestivas</v>
          </cell>
        </row>
        <row r="21">
          <cell r="A21" t="str">
            <v>Gerência Geral</v>
          </cell>
          <cell r="B21" t="str">
            <v>p</v>
          </cell>
          <cell r="I21" t="str">
            <v xml:space="preserve">Garantir a estrutura física para atendimento e funcionamento do CAU/DF. </v>
          </cell>
        </row>
        <row r="22">
          <cell r="A22" t="str">
            <v>Gerência Geral</v>
          </cell>
          <cell r="B22" t="str">
            <v>PE</v>
          </cell>
          <cell r="I22" t="str">
            <v>Preservar a memória do conhecimento Artístico, Científico e Tecnológico dentro da Arquitetura e Urbanismo.</v>
          </cell>
        </row>
      </sheetData>
      <sheetData sheetId="6">
        <row r="6">
          <cell r="E6">
            <v>3525383.9200000004</v>
          </cell>
          <cell r="O6">
            <v>2139867.7272594706</v>
          </cell>
        </row>
        <row r="7">
          <cell r="E7">
            <v>0</v>
          </cell>
          <cell r="O7">
            <v>253201.49000000005</v>
          </cell>
        </row>
        <row r="8">
          <cell r="E8">
            <v>3525383.9200000004</v>
          </cell>
          <cell r="O8">
            <v>3611383.9200000004</v>
          </cell>
        </row>
        <row r="9">
          <cell r="E9">
            <v>75501.399999999994</v>
          </cell>
        </row>
        <row r="10">
          <cell r="E10">
            <v>3449882.5200000005</v>
          </cell>
        </row>
        <row r="13">
          <cell r="E13">
            <v>790623.48727025033</v>
          </cell>
          <cell r="O13">
            <v>1886666.2372594706</v>
          </cell>
        </row>
        <row r="14">
          <cell r="E14">
            <v>0.22917403206827178</v>
          </cell>
          <cell r="O14">
            <v>0.52242195209737508</v>
          </cell>
        </row>
        <row r="15">
          <cell r="E15">
            <v>481127.60696259583</v>
          </cell>
          <cell r="O15">
            <v>46200</v>
          </cell>
        </row>
        <row r="16">
          <cell r="E16">
            <v>0.13946202636563862</v>
          </cell>
          <cell r="O16">
            <v>2.1590119525363542E-2</v>
          </cell>
        </row>
        <row r="17">
          <cell r="E17">
            <v>185147.97393250003</v>
          </cell>
        </row>
        <row r="18">
          <cell r="E18">
            <v>5.3667906909624273E-2</v>
          </cell>
        </row>
        <row r="19">
          <cell r="E19">
            <v>34381.175000000003</v>
          </cell>
        </row>
        <row r="20">
          <cell r="E20">
            <v>9.9658973314836231E-3</v>
          </cell>
        </row>
        <row r="21">
          <cell r="E21">
            <v>700656.75589509588</v>
          </cell>
        </row>
        <row r="22">
          <cell r="E22">
            <v>0.20309583060674652</v>
          </cell>
        </row>
        <row r="23">
          <cell r="E23">
            <v>68762.350000000006</v>
          </cell>
        </row>
        <row r="24">
          <cell r="E24">
            <v>1.9931794662967246E-2</v>
          </cell>
        </row>
        <row r="25">
          <cell r="E25">
            <v>25500</v>
          </cell>
        </row>
        <row r="26">
          <cell r="E26">
            <v>7.3915560463780651E-3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rativos 2021"/>
      <sheetName val="Demonstrativos (2)"/>
    </sheetNames>
    <sheetDataSet>
      <sheetData sheetId="0">
        <row r="12">
          <cell r="H12">
            <v>3328956.13</v>
          </cell>
          <cell r="J12">
            <v>450546.49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Capa do Parecer"/>
      <sheetName val="Análise Geral"/>
      <sheetName val="Indicadores e Metas"/>
      <sheetName val="FORM.1"/>
      <sheetName val="FORM.2"/>
      <sheetName val="FORM.3"/>
      <sheetName val="FORM.4"/>
      <sheetName val="Conferência"/>
      <sheetName val="Mapa Estratégico e ODS"/>
      <sheetName val="Quadro Geral (2)"/>
      <sheetName val="PARECER"/>
      <sheetName val="FORM.1(rascunho)"/>
      <sheetName val="Resumo"/>
      <sheetName val="Anexo 4 - Funcionamento"/>
      <sheetName val="Anexo 4 - Fiscalização"/>
      <sheetName val="Anexo 4 - Pres. e Repres. Insti"/>
      <sheetName val="Anexo 4 - Atendimento"/>
      <sheetName val="Anexo 4 - Comunicação"/>
      <sheetName val="Anexo 4 - CSC_Fisc."/>
      <sheetName val="Anexo 4 - CSC_Atend"/>
      <sheetName val="Anexo 4 - Fundo de Ap"/>
      <sheetName val="Anexo 4 - Capacitação"/>
      <sheetName val="Anexo 4 - ATHIS"/>
      <sheetName val="Anexo 4 - Patrocínio"/>
      <sheetName val="AÇÕES ESTRATÉGICAS - DESCRIÇÃO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F11">
            <v>3611383.9200000004</v>
          </cell>
        </row>
        <row r="12">
          <cell r="F12">
            <v>3525383.9200000004</v>
          </cell>
        </row>
        <row r="13">
          <cell r="F13">
            <v>1985008.36</v>
          </cell>
        </row>
        <row r="14">
          <cell r="F14">
            <v>1807802.07</v>
          </cell>
        </row>
        <row r="15">
          <cell r="F15">
            <v>1502059.5</v>
          </cell>
        </row>
        <row r="16">
          <cell r="F16">
            <v>305742.57</v>
          </cell>
        </row>
        <row r="17">
          <cell r="F17">
            <v>177206.29</v>
          </cell>
        </row>
        <row r="18">
          <cell r="F18">
            <v>124079.33</v>
          </cell>
        </row>
        <row r="19">
          <cell r="F19">
            <v>53126.960000000006</v>
          </cell>
        </row>
        <row r="20">
          <cell r="F20">
            <v>1375453.08</v>
          </cell>
        </row>
        <row r="21">
          <cell r="F21">
            <v>164922.47999999998</v>
          </cell>
        </row>
        <row r="22">
          <cell r="F22">
            <v>48000</v>
          </cell>
        </row>
        <row r="23">
          <cell r="F23">
            <v>38000</v>
          </cell>
        </row>
        <row r="24">
          <cell r="F24">
            <v>0</v>
          </cell>
        </row>
        <row r="25">
          <cell r="F25">
            <v>386000</v>
          </cell>
        </row>
        <row r="26">
          <cell r="F26">
            <v>386000</v>
          </cell>
        </row>
        <row r="27">
          <cell r="F27">
            <v>0</v>
          </cell>
        </row>
        <row r="28">
          <cell r="F28">
            <v>3997383.92</v>
          </cell>
        </row>
      </sheetData>
      <sheetData sheetId="5">
        <row r="9">
          <cell r="E9" t="str">
            <v>Funcionamento do CAU/DF</v>
          </cell>
          <cell r="G9" t="str">
            <v>Aprimorar e inovar os processos e as ações</v>
          </cell>
          <cell r="M9">
            <v>1485209.7447659622</v>
          </cell>
        </row>
        <row r="10">
          <cell r="E10" t="str">
            <v>Fiscalização 2021</v>
          </cell>
          <cell r="G10" t="str">
            <v>Tornar a fiscalização um vetor de melhoria do exercício da Arquitetura e Urbanismo</v>
          </cell>
          <cell r="M10">
            <v>556540.87727025035</v>
          </cell>
        </row>
        <row r="11">
          <cell r="E11" t="str">
            <v>Presidência e Representação Institucional</v>
          </cell>
          <cell r="G11" t="str">
            <v>Estimular a produção da Arquitetura e Urbanismo como política de Estado</v>
          </cell>
          <cell r="M11">
            <v>539930.18432816223</v>
          </cell>
        </row>
        <row r="12">
          <cell r="E12" t="str">
            <v>Atendimento aos Arquitetos e Urbanistas</v>
          </cell>
          <cell r="G12" t="str">
            <v>Assegurar a eficácia no atendimento e no relacionamento com os Arquitetos e Urbanistas e a Sociedade</v>
          </cell>
          <cell r="M12">
            <v>442730.08696259581</v>
          </cell>
        </row>
        <row r="13">
          <cell r="E13" t="str">
            <v>Comunicação do CAU/DF</v>
          </cell>
          <cell r="G13" t="str">
            <v>Assegurar a eficácia no relacionamento e comunicação com a sociedade</v>
          </cell>
          <cell r="M13">
            <v>185147.97393250003</v>
          </cell>
        </row>
        <row r="14">
          <cell r="E14" t="str">
            <v>Capacitação dos Colaboradores do CAU/DF</v>
          </cell>
          <cell r="G14" t="str">
            <v>Desenvolver competências de dirigentes e colaboradores</v>
          </cell>
          <cell r="M14">
            <v>46200</v>
          </cell>
        </row>
        <row r="15">
          <cell r="E15" t="str">
            <v>Centro de Serviço Compartilhado - Fiscalização</v>
          </cell>
          <cell r="G15" t="str">
            <v>Tornar a fiscalização um vetor de melhoria do exercício da Arquitetura e Urbanismo</v>
          </cell>
          <cell r="M15">
            <v>234082.61</v>
          </cell>
        </row>
        <row r="16">
          <cell r="E16" t="str">
            <v>Centro de Serviço Compartilhado - Atendimento</v>
          </cell>
          <cell r="G16" t="str">
            <v>Assegurar a eficácia no atendimento e no relacionamento com os Arquitetos e Urbanistas e a Sociedade</v>
          </cell>
          <cell r="M16">
            <v>38397.520000000004</v>
          </cell>
        </row>
        <row r="17">
          <cell r="E17" t="str">
            <v>Fundo de Apoio CAU/DF</v>
          </cell>
          <cell r="G17" t="str">
            <v>Assegurar a sustentabilidade financeira</v>
          </cell>
          <cell r="M17">
            <v>75501.399999999994</v>
          </cell>
        </row>
        <row r="18">
          <cell r="E18" t="str">
            <v>Assistência Técnica</v>
          </cell>
          <cell r="G18" t="str">
            <v>Fomentar o acesso da sociedade à Arquitetura e Urbanismo</v>
          </cell>
          <cell r="M18">
            <v>68762.350000000006</v>
          </cell>
        </row>
        <row r="19">
          <cell r="E19" t="str">
            <v>Patrocinar Eventos de Interesse da Arquitetura e Urbanismo</v>
          </cell>
          <cell r="G19" t="str">
            <v>Estimular o conhecimento, o uso de processos criativos e a difusão das melhores práticas em Arquitetura e Urbanismo</v>
          </cell>
          <cell r="M19">
            <v>34381.175000000003</v>
          </cell>
        </row>
        <row r="20">
          <cell r="E20" t="str">
            <v>Reserva de Contingência CAU/DF</v>
          </cell>
          <cell r="G20" t="str">
            <v>Assegurar a sustentabilidade financeira</v>
          </cell>
          <cell r="M20">
            <v>25500</v>
          </cell>
        </row>
        <row r="21">
          <cell r="E21" t="str">
            <v>SEDE CAU/DF</v>
          </cell>
          <cell r="G21" t="str">
            <v>Ter sistemas de informação e infraestrutura que viabilizem a gestão e o atendimento dos arquitetos e urbanistas e a sociedade</v>
          </cell>
          <cell r="M21">
            <v>215000</v>
          </cell>
        </row>
        <row r="22">
          <cell r="E22" t="str">
            <v>Geometrizando</v>
          </cell>
          <cell r="G22" t="str">
            <v>Estimular o conhecimento, o uso de processos criativos e a difusão das melhores práticas em Arquitetura e Urbanismo</v>
          </cell>
          <cell r="M22">
            <v>50000</v>
          </cell>
        </row>
        <row r="23">
          <cell r="M23">
            <v>3997383.92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B7" sqref="B7:I7"/>
    </sheetView>
  </sheetViews>
  <sheetFormatPr defaultColWidth="8.85546875" defaultRowHeight="15"/>
  <cols>
    <col min="1" max="1" width="3.7109375" style="1" customWidth="1"/>
    <col min="2" max="8" width="10.42578125" style="1" customWidth="1"/>
    <col min="9" max="9" width="21.28515625" style="1" customWidth="1"/>
    <col min="10" max="16384" width="8.85546875" style="1"/>
  </cols>
  <sheetData>
    <row r="1" spans="2:9">
      <c r="B1" s="307" t="s">
        <v>308</v>
      </c>
      <c r="C1" s="308"/>
      <c r="D1" s="308"/>
      <c r="E1" s="308"/>
      <c r="F1" s="308"/>
      <c r="G1" s="308"/>
      <c r="H1" s="308"/>
      <c r="I1" s="309"/>
    </row>
    <row r="2" spans="2:9" ht="21" customHeight="1" thickBot="1">
      <c r="B2" s="310"/>
      <c r="C2" s="311"/>
      <c r="D2" s="311"/>
      <c r="E2" s="311"/>
      <c r="F2" s="311"/>
      <c r="G2" s="311"/>
      <c r="H2" s="311"/>
      <c r="I2" s="312"/>
    </row>
    <row r="3" spans="2:9" s="180" customFormat="1" ht="45.75" customHeight="1" thickBot="1">
      <c r="B3" s="304" t="s">
        <v>309</v>
      </c>
      <c r="C3" s="305"/>
      <c r="D3" s="305"/>
      <c r="E3" s="305"/>
      <c r="F3" s="305"/>
      <c r="G3" s="305"/>
      <c r="H3" s="305"/>
      <c r="I3" s="306"/>
    </row>
    <row r="4" spans="2:9" s="180" customFormat="1" ht="45.75" customHeight="1" thickBot="1">
      <c r="B4" s="313" t="s">
        <v>310</v>
      </c>
      <c r="C4" s="314"/>
      <c r="D4" s="314"/>
      <c r="E4" s="314"/>
      <c r="F4" s="314"/>
      <c r="G4" s="314"/>
      <c r="H4" s="314"/>
      <c r="I4" s="315"/>
    </row>
    <row r="5" spans="2:9" s="180" customFormat="1" ht="86.25" customHeight="1" thickBot="1">
      <c r="B5" s="313" t="s">
        <v>335</v>
      </c>
      <c r="C5" s="314"/>
      <c r="D5" s="314"/>
      <c r="E5" s="314"/>
      <c r="F5" s="314"/>
      <c r="G5" s="314"/>
      <c r="H5" s="314"/>
      <c r="I5" s="315"/>
    </row>
    <row r="6" spans="2:9" s="180" customFormat="1" ht="45.75" customHeight="1" thickBot="1">
      <c r="B6" s="313" t="s">
        <v>311</v>
      </c>
      <c r="C6" s="314"/>
      <c r="D6" s="314"/>
      <c r="E6" s="314"/>
      <c r="F6" s="314"/>
      <c r="G6" s="314"/>
      <c r="H6" s="314"/>
      <c r="I6" s="315"/>
    </row>
    <row r="7" spans="2:9" s="180" customFormat="1" ht="45.75" customHeight="1" thickBot="1">
      <c r="B7" s="304" t="s">
        <v>346</v>
      </c>
      <c r="C7" s="305"/>
      <c r="D7" s="305"/>
      <c r="E7" s="305"/>
      <c r="F7" s="305"/>
      <c r="G7" s="305"/>
      <c r="H7" s="305"/>
      <c r="I7" s="306"/>
    </row>
    <row r="8" spans="2:9" ht="52.5" customHeight="1"/>
    <row r="9" spans="2:9" ht="20.25">
      <c r="B9" s="181"/>
    </row>
    <row r="10" spans="2:9">
      <c r="B10" s="182"/>
    </row>
  </sheetData>
  <mergeCells count="6">
    <mergeCell ref="B7:I7"/>
    <mergeCell ref="B1:I2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28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34"/>
  <sheetViews>
    <sheetView topLeftCell="E1" zoomScale="150" zoomScaleNormal="150" workbookViewId="0">
      <selection activeCell="J9" sqref="J9"/>
    </sheetView>
  </sheetViews>
  <sheetFormatPr defaultRowHeight="15.75"/>
  <cols>
    <col min="1" max="1" width="48.7109375" style="5" bestFit="1" customWidth="1"/>
    <col min="2" max="2" width="42.5703125" style="5" bestFit="1" customWidth="1"/>
    <col min="3" max="3" width="46.28515625" style="5" bestFit="1" customWidth="1"/>
    <col min="4" max="4" width="127.85546875" style="5" customWidth="1"/>
    <col min="5" max="8" width="9.140625" style="5"/>
    <col min="9" max="9" width="13.5703125" style="5" bestFit="1" customWidth="1"/>
    <col min="10" max="49" width="9.140625" style="5"/>
  </cols>
  <sheetData>
    <row r="1" spans="1:7">
      <c r="A1" s="5" t="s">
        <v>61</v>
      </c>
      <c r="B1" s="6" t="s">
        <v>46</v>
      </c>
      <c r="C1" s="6" t="s">
        <v>106</v>
      </c>
      <c r="D1" s="5" t="s">
        <v>24</v>
      </c>
      <c r="E1" s="5" t="s">
        <v>203</v>
      </c>
      <c r="G1" s="5" t="s">
        <v>256</v>
      </c>
    </row>
    <row r="2" spans="1:7">
      <c r="A2" s="5" t="s">
        <v>69</v>
      </c>
      <c r="B2" s="6" t="s">
        <v>31</v>
      </c>
      <c r="C2" s="6" t="s">
        <v>107</v>
      </c>
      <c r="D2" s="5" t="s">
        <v>77</v>
      </c>
      <c r="E2" s="5" t="s">
        <v>204</v>
      </c>
      <c r="G2" s="5" t="s">
        <v>254</v>
      </c>
    </row>
    <row r="3" spans="1:7">
      <c r="A3" s="5" t="s">
        <v>70</v>
      </c>
      <c r="B3" s="4" t="s">
        <v>29</v>
      </c>
      <c r="C3" s="6" t="s">
        <v>78</v>
      </c>
      <c r="D3" s="5" t="s">
        <v>20</v>
      </c>
      <c r="E3" s="5" t="s">
        <v>205</v>
      </c>
      <c r="G3" s="5" t="s">
        <v>252</v>
      </c>
    </row>
    <row r="4" spans="1:7">
      <c r="A4" s="5" t="s">
        <v>71</v>
      </c>
      <c r="B4" s="7" t="s">
        <v>99</v>
      </c>
      <c r="C4" s="6" t="s">
        <v>79</v>
      </c>
      <c r="D4" s="5" t="s">
        <v>23</v>
      </c>
      <c r="E4" s="5" t="s">
        <v>206</v>
      </c>
      <c r="G4" s="5" t="s">
        <v>250</v>
      </c>
    </row>
    <row r="5" spans="1:7">
      <c r="A5" s="5" t="s">
        <v>62</v>
      </c>
      <c r="B5" s="7" t="s">
        <v>100</v>
      </c>
      <c r="C5" s="6" t="s">
        <v>80</v>
      </c>
      <c r="D5" s="5" t="s">
        <v>26</v>
      </c>
      <c r="E5" s="5" t="s">
        <v>207</v>
      </c>
      <c r="G5" s="5" t="s">
        <v>248</v>
      </c>
    </row>
    <row r="6" spans="1:7">
      <c r="A6" s="5" t="s">
        <v>72</v>
      </c>
      <c r="B6" s="7" t="s">
        <v>101</v>
      </c>
      <c r="C6" s="6" t="s">
        <v>81</v>
      </c>
      <c r="D6" s="5" t="s">
        <v>25</v>
      </c>
      <c r="E6" s="5" t="s">
        <v>208</v>
      </c>
      <c r="G6" s="5" t="s">
        <v>246</v>
      </c>
    </row>
    <row r="7" spans="1:7">
      <c r="A7" s="5" t="s">
        <v>165</v>
      </c>
      <c r="B7" s="7" t="s">
        <v>102</v>
      </c>
      <c r="C7" s="6" t="s">
        <v>82</v>
      </c>
      <c r="D7" s="5" t="s">
        <v>83</v>
      </c>
      <c r="G7" s="5" t="s">
        <v>244</v>
      </c>
    </row>
    <row r="8" spans="1:7">
      <c r="A8" s="5" t="s">
        <v>63</v>
      </c>
      <c r="B8" s="7" t="s">
        <v>103</v>
      </c>
      <c r="C8" s="6" t="s">
        <v>84</v>
      </c>
      <c r="D8" s="5" t="s">
        <v>17</v>
      </c>
      <c r="G8" s="5" t="s">
        <v>243</v>
      </c>
    </row>
    <row r="9" spans="1:7">
      <c r="A9" s="5" t="s">
        <v>73</v>
      </c>
      <c r="B9" s="7" t="s">
        <v>110</v>
      </c>
      <c r="C9" s="6" t="s">
        <v>85</v>
      </c>
      <c r="D9" s="5" t="s">
        <v>22</v>
      </c>
      <c r="G9" s="5" t="s">
        <v>241</v>
      </c>
    </row>
    <row r="10" spans="1:7">
      <c r="A10" s="5" t="s">
        <v>64</v>
      </c>
      <c r="B10" s="6" t="s">
        <v>30</v>
      </c>
      <c r="C10" s="6" t="s">
        <v>86</v>
      </c>
      <c r="D10" s="5" t="s">
        <v>109</v>
      </c>
      <c r="G10" s="5" t="s">
        <v>240</v>
      </c>
    </row>
    <row r="11" spans="1:7">
      <c r="A11" s="5" t="s">
        <v>65</v>
      </c>
      <c r="B11" s="6" t="s">
        <v>0</v>
      </c>
      <c r="C11" s="6" t="s">
        <v>87</v>
      </c>
      <c r="D11" s="5" t="s">
        <v>14</v>
      </c>
      <c r="G11" s="5" t="s">
        <v>237</v>
      </c>
    </row>
    <row r="12" spans="1:7">
      <c r="A12" s="5" t="s">
        <v>74</v>
      </c>
      <c r="C12" s="6" t="s">
        <v>88</v>
      </c>
      <c r="D12" s="5" t="s">
        <v>89</v>
      </c>
      <c r="G12" s="5" t="s">
        <v>235</v>
      </c>
    </row>
    <row r="13" spans="1:7">
      <c r="A13" s="5" t="s">
        <v>75</v>
      </c>
      <c r="B13" s="4"/>
      <c r="C13" s="6" t="s">
        <v>90</v>
      </c>
      <c r="D13" s="5" t="s">
        <v>21</v>
      </c>
      <c r="G13" s="5" t="s">
        <v>233</v>
      </c>
    </row>
    <row r="14" spans="1:7">
      <c r="A14" s="5" t="s">
        <v>66</v>
      </c>
      <c r="B14" s="4"/>
      <c r="C14" s="6" t="s">
        <v>91</v>
      </c>
      <c r="D14" s="5" t="s">
        <v>27</v>
      </c>
      <c r="G14" s="5" t="s">
        <v>231</v>
      </c>
    </row>
    <row r="15" spans="1:7">
      <c r="A15" s="5" t="s">
        <v>76</v>
      </c>
      <c r="B15" s="4"/>
      <c r="C15" s="6" t="s">
        <v>92</v>
      </c>
      <c r="D15" s="5" t="s">
        <v>15</v>
      </c>
      <c r="G15" s="5" t="s">
        <v>230</v>
      </c>
    </row>
    <row r="16" spans="1:7">
      <c r="A16" s="5" t="s">
        <v>67</v>
      </c>
      <c r="B16" s="4"/>
      <c r="C16" s="6" t="s">
        <v>93</v>
      </c>
      <c r="D16" s="5" t="s">
        <v>108</v>
      </c>
      <c r="G16" s="5" t="s">
        <v>205</v>
      </c>
    </row>
    <row r="17" spans="1:7">
      <c r="A17" s="5" t="s">
        <v>68</v>
      </c>
      <c r="B17" s="4"/>
      <c r="C17" s="6" t="s">
        <v>94</v>
      </c>
      <c r="G17" s="5" t="s">
        <v>229</v>
      </c>
    </row>
    <row r="18" spans="1:7">
      <c r="B18" s="4"/>
      <c r="C18" s="6" t="s">
        <v>95</v>
      </c>
      <c r="G18" s="5" t="s">
        <v>228</v>
      </c>
    </row>
    <row r="19" spans="1:7">
      <c r="C19" s="6" t="s">
        <v>96</v>
      </c>
      <c r="G19" s="5" t="s">
        <v>227</v>
      </c>
    </row>
    <row r="20" spans="1:7">
      <c r="C20" s="6" t="s">
        <v>97</v>
      </c>
      <c r="G20" s="5" t="s">
        <v>226</v>
      </c>
    </row>
    <row r="21" spans="1:7">
      <c r="C21" s="6" t="s">
        <v>98</v>
      </c>
      <c r="G21" s="5" t="s">
        <v>225</v>
      </c>
    </row>
    <row r="22" spans="1:7">
      <c r="G22" s="5" t="s">
        <v>224</v>
      </c>
    </row>
    <row r="23" spans="1:7">
      <c r="G23" s="5" t="s">
        <v>223</v>
      </c>
    </row>
    <row r="24" spans="1:7">
      <c r="G24" s="5" t="s">
        <v>222</v>
      </c>
    </row>
    <row r="25" spans="1:7">
      <c r="G25" s="5" t="s">
        <v>221</v>
      </c>
    </row>
    <row r="26" spans="1:7">
      <c r="G26" s="5" t="s">
        <v>220</v>
      </c>
    </row>
    <row r="27" spans="1:7">
      <c r="G27" s="5" t="s">
        <v>219</v>
      </c>
    </row>
    <row r="28" spans="1:7">
      <c r="G28" s="5" t="s">
        <v>307</v>
      </c>
    </row>
    <row r="34" spans="1:1">
      <c r="A34" s="5" t="s">
        <v>304</v>
      </c>
    </row>
  </sheetData>
  <sortState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J28" sqref="J28"/>
    </sheetView>
  </sheetViews>
  <sheetFormatPr defaultColWidth="9.140625" defaultRowHeight="15.75" zeroHeight="1" outlineLevelCol="1"/>
  <cols>
    <col min="1" max="1" width="13.28515625" style="23" hidden="1" customWidth="1" outlineLevel="1"/>
    <col min="2" max="2" width="15.42578125" style="22" hidden="1" customWidth="1" outlineLevel="1"/>
    <col min="3" max="9" width="15.5703125" style="22" hidden="1" customWidth="1" outlineLevel="1"/>
    <col min="10" max="10" width="16.140625" style="20" hidden="1" customWidth="1" outlineLevel="1"/>
    <col min="11" max="11" width="13.28515625" style="21" hidden="1" customWidth="1" outlineLevel="1"/>
    <col min="12" max="14" width="15.42578125" style="20" hidden="1" customWidth="1" outlineLevel="1"/>
    <col min="15" max="15" width="2.28515625" style="20" hidden="1" customWidth="1" outlineLevel="1"/>
    <col min="16" max="17" width="16.42578125" style="20" hidden="1" customWidth="1" outlineLevel="1"/>
    <col min="18" max="18" width="5.7109375" style="19" hidden="1" customWidth="1" outlineLevel="1"/>
    <col min="19" max="19" width="15.42578125" style="20" hidden="1" customWidth="1" outlineLevel="1"/>
    <col min="20" max="20" width="2.85546875" style="19" hidden="1" customWidth="1" outlineLevel="1"/>
    <col min="21" max="21" width="16.140625" style="20" hidden="1" customWidth="1" outlineLevel="1"/>
    <col min="22" max="22" width="2.85546875" style="19" hidden="1" customWidth="1" outlineLevel="1"/>
    <col min="23" max="23" width="16.42578125" style="17" hidden="1" customWidth="1" outlineLevel="1"/>
    <col min="24" max="24" width="19.85546875" style="17" hidden="1" customWidth="1" outlineLevel="1"/>
    <col min="25" max="25" width="16.42578125" style="18" hidden="1" customWidth="1" outlineLevel="1"/>
    <col min="26" max="26" width="16.42578125" style="17" hidden="1" customWidth="1" outlineLevel="1"/>
    <col min="27" max="27" width="16.42578125" style="18" hidden="1" customWidth="1" outlineLevel="1"/>
    <col min="28" max="28" width="16.42578125" style="17" hidden="1" customWidth="1" outlineLevel="1"/>
    <col min="29" max="29" width="2.85546875" style="1" hidden="1" customWidth="1" outlineLevel="1"/>
    <col min="30" max="30" width="11.28515625" style="1" hidden="1" customWidth="1" outlineLevel="1"/>
    <col min="31" max="31" width="3.28515625" style="1" hidden="1" customWidth="1" outlineLevel="1"/>
    <col min="32" max="32" width="18.85546875" style="1" hidden="1" customWidth="1" outlineLevel="1"/>
    <col min="33" max="33" width="4.7109375" style="1" hidden="1" customWidth="1" outlineLevel="1"/>
    <col min="34" max="34" width="18.85546875" style="17" hidden="1" customWidth="1" outlineLevel="1"/>
    <col min="35" max="35" width="9.85546875" style="1" hidden="1" customWidth="1" outlineLevel="1"/>
    <col min="36" max="36" width="39.140625" style="2" bestFit="1" customWidth="1" collapsed="1"/>
    <col min="37" max="37" width="15.7109375" style="2" bestFit="1" customWidth="1"/>
    <col min="38" max="38" width="1" style="1" customWidth="1"/>
    <col min="39" max="39" width="39" style="2" bestFit="1" customWidth="1"/>
    <col min="40" max="40" width="15.5703125" style="1" bestFit="1" customWidth="1"/>
    <col min="41" max="43" width="9.140625" style="1"/>
    <col min="44" max="44" width="12.42578125" style="1" bestFit="1" customWidth="1"/>
    <col min="45" max="16384" width="9.140625" style="1"/>
  </cols>
  <sheetData>
    <row r="1" spans="1:44" ht="16.5" hidden="1" customHeight="1" thickBot="1">
      <c r="A1" s="548" t="s">
        <v>282</v>
      </c>
      <c r="B1" s="549">
        <v>0.8</v>
      </c>
      <c r="C1" s="549"/>
      <c r="D1" s="549"/>
      <c r="E1" s="549"/>
      <c r="F1" s="549"/>
      <c r="G1" s="549"/>
      <c r="H1" s="549"/>
      <c r="I1" s="549"/>
      <c r="J1" s="549"/>
      <c r="L1" s="555" t="s">
        <v>281</v>
      </c>
      <c r="M1" s="556"/>
      <c r="N1" s="557"/>
      <c r="P1" s="556" t="s">
        <v>280</v>
      </c>
      <c r="Q1" s="556"/>
      <c r="S1" s="556" t="s">
        <v>279</v>
      </c>
      <c r="U1" s="556" t="s">
        <v>278</v>
      </c>
      <c r="W1" s="549" t="s">
        <v>277</v>
      </c>
      <c r="X1" s="549"/>
      <c r="Y1" s="549"/>
      <c r="Z1" s="549"/>
      <c r="AA1" s="549"/>
      <c r="AB1" s="549"/>
    </row>
    <row r="2" spans="1:44" s="55" customFormat="1" ht="16.5" thickBot="1">
      <c r="A2" s="548"/>
      <c r="B2" s="550" t="s">
        <v>275</v>
      </c>
      <c r="C2" s="550"/>
      <c r="D2" s="550"/>
      <c r="E2" s="550" t="s">
        <v>274</v>
      </c>
      <c r="F2" s="550"/>
      <c r="G2" s="550"/>
      <c r="H2" s="551" t="s">
        <v>273</v>
      </c>
      <c r="I2" s="551" t="s">
        <v>276</v>
      </c>
      <c r="J2" s="554" t="s">
        <v>283</v>
      </c>
      <c r="K2" s="61"/>
      <c r="L2" s="558"/>
      <c r="M2" s="559"/>
      <c r="N2" s="560"/>
      <c r="O2" s="60"/>
      <c r="P2" s="559"/>
      <c r="Q2" s="559"/>
      <c r="R2" s="59"/>
      <c r="S2" s="559"/>
      <c r="T2" s="59"/>
      <c r="U2" s="559"/>
      <c r="V2" s="59"/>
      <c r="W2" s="550" t="s">
        <v>275</v>
      </c>
      <c r="X2" s="550"/>
      <c r="Y2" s="550"/>
      <c r="Z2" s="550" t="s">
        <v>274</v>
      </c>
      <c r="AA2" s="550"/>
      <c r="AB2" s="58" t="s">
        <v>273</v>
      </c>
      <c r="AD2" s="561" t="s">
        <v>247</v>
      </c>
      <c r="AF2" s="561" t="s">
        <v>272</v>
      </c>
      <c r="AH2" s="553" t="s">
        <v>301</v>
      </c>
      <c r="AJ2" s="57" t="s">
        <v>271</v>
      </c>
      <c r="AK2" s="56" t="e">
        <f>'Indicadores e Metas'!#REF!</f>
        <v>#REF!</v>
      </c>
      <c r="AM2" s="546" t="s">
        <v>270</v>
      </c>
      <c r="AN2" s="547"/>
    </row>
    <row r="3" spans="1:44" s="44" customFormat="1" ht="20.25" customHeight="1" thickBot="1">
      <c r="A3" s="548"/>
      <c r="B3" s="52" t="s">
        <v>269</v>
      </c>
      <c r="C3" s="52" t="s">
        <v>268</v>
      </c>
      <c r="D3" s="52" t="s">
        <v>267</v>
      </c>
      <c r="E3" s="52" t="s">
        <v>269</v>
      </c>
      <c r="F3" s="52" t="s">
        <v>268</v>
      </c>
      <c r="G3" s="52" t="s">
        <v>267</v>
      </c>
      <c r="H3" s="552"/>
      <c r="I3" s="552"/>
      <c r="J3" s="552"/>
      <c r="K3" s="54"/>
      <c r="L3" s="52" t="s">
        <v>266</v>
      </c>
      <c r="M3" s="52" t="s">
        <v>265</v>
      </c>
      <c r="N3" s="52" t="s">
        <v>264</v>
      </c>
      <c r="O3" s="53"/>
      <c r="P3" s="64" t="s">
        <v>263</v>
      </c>
      <c r="Q3" s="64" t="s">
        <v>262</v>
      </c>
      <c r="R3" s="50"/>
      <c r="S3" s="51" t="s">
        <v>261</v>
      </c>
      <c r="T3" s="50"/>
      <c r="U3" s="51" t="s">
        <v>260</v>
      </c>
      <c r="V3" s="50"/>
      <c r="W3" s="49" t="s">
        <v>284</v>
      </c>
      <c r="X3" s="49" t="s">
        <v>285</v>
      </c>
      <c r="Y3" s="47" t="s">
        <v>259</v>
      </c>
      <c r="Z3" s="48" t="s">
        <v>258</v>
      </c>
      <c r="AA3" s="47" t="s">
        <v>259</v>
      </c>
      <c r="AB3" s="46" t="s">
        <v>258</v>
      </c>
      <c r="AD3" s="562"/>
      <c r="AF3" s="562"/>
      <c r="AH3" s="553"/>
      <c r="AJ3" s="39" t="s">
        <v>5</v>
      </c>
      <c r="AK3" s="45" t="e">
        <f>AK4+AK14+AK15+AK16</f>
        <v>#REF!</v>
      </c>
      <c r="AM3" s="39" t="s">
        <v>257</v>
      </c>
      <c r="AN3" s="38" t="e">
        <f>VLOOKUP($AK$2,'Diretrizes - Resumo'!$A$4:$Q$30,16,)</f>
        <v>#REF!</v>
      </c>
    </row>
    <row r="4" spans="1:44" ht="16.5" thickBot="1">
      <c r="A4" s="29" t="s">
        <v>256</v>
      </c>
      <c r="B4" s="22">
        <v>173779.93599999999</v>
      </c>
      <c r="C4" s="22">
        <v>28680.296000000002</v>
      </c>
      <c r="D4" s="22">
        <f t="shared" ref="D4" si="0">B4+C4</f>
        <v>202460.23199999999</v>
      </c>
      <c r="E4" s="22">
        <v>26559.703999999998</v>
      </c>
      <c r="F4" s="22">
        <v>7609.2720000000008</v>
      </c>
      <c r="G4" s="22">
        <f t="shared" ref="G4" si="1">E4+F4</f>
        <v>34168.975999999995</v>
      </c>
      <c r="H4" s="22">
        <v>235854.82</v>
      </c>
      <c r="I4" s="22">
        <v>24707.91</v>
      </c>
      <c r="J4" s="28">
        <f t="shared" ref="J4:J30" si="2">I4+H4+G4+D4</f>
        <v>497191.93799999997</v>
      </c>
      <c r="K4" s="62">
        <v>0</v>
      </c>
      <c r="L4" s="22">
        <v>9108.9120471532424</v>
      </c>
      <c r="M4" s="22">
        <v>17240</v>
      </c>
      <c r="N4" s="22">
        <v>754537.39605743252</v>
      </c>
      <c r="P4" s="22">
        <v>39070.160000000003</v>
      </c>
      <c r="Q4" s="22">
        <v>4657.0560574324481</v>
      </c>
      <c r="R4" s="63">
        <v>0</v>
      </c>
      <c r="S4" s="22"/>
      <c r="U4" s="22">
        <v>2525.3977976760007</v>
      </c>
      <c r="W4" s="26">
        <v>736</v>
      </c>
      <c r="X4" s="26">
        <v>725</v>
      </c>
      <c r="Y4" s="27">
        <v>36.137931034482762</v>
      </c>
      <c r="Z4" s="26">
        <v>146</v>
      </c>
      <c r="AA4" s="27">
        <v>52.054794520547951</v>
      </c>
      <c r="AB4" s="26">
        <v>2724</v>
      </c>
      <c r="AD4" s="19">
        <v>0</v>
      </c>
      <c r="AF4" s="19">
        <v>669680.75</v>
      </c>
      <c r="AG4" s="55"/>
      <c r="AH4" s="119">
        <v>906876</v>
      </c>
      <c r="AJ4" s="33" t="s">
        <v>54</v>
      </c>
      <c r="AK4" s="43" t="e">
        <f>AK5+AK12+AK13</f>
        <v>#REF!</v>
      </c>
      <c r="AM4" s="33" t="s">
        <v>255</v>
      </c>
      <c r="AN4" s="38" t="e">
        <f>VLOOKUP($AK$2,'Diretrizes - Resumo'!$A$4:$Q$30,17,)</f>
        <v>#REF!</v>
      </c>
      <c r="AR4" s="25"/>
    </row>
    <row r="5" spans="1:44" ht="16.5" thickBot="1">
      <c r="A5" s="29" t="s">
        <v>254</v>
      </c>
      <c r="B5" s="22">
        <v>529644.17599999998</v>
      </c>
      <c r="C5" s="22">
        <v>119850.66399999999</v>
      </c>
      <c r="D5" s="22">
        <f t="shared" ref="D5:D30" si="3">B5+C5</f>
        <v>649494.84</v>
      </c>
      <c r="E5" s="22">
        <v>28274.615999999998</v>
      </c>
      <c r="F5" s="22">
        <v>19201.423999999999</v>
      </c>
      <c r="G5" s="22">
        <f t="shared" ref="G5:G30" si="4">E5+F5</f>
        <v>47476.039999999994</v>
      </c>
      <c r="H5" s="22">
        <v>623231.63</v>
      </c>
      <c r="I5" s="22">
        <v>85690.17</v>
      </c>
      <c r="J5" s="28">
        <f t="shared" si="2"/>
        <v>1405892.6800000002</v>
      </c>
      <c r="K5" s="62">
        <v>0</v>
      </c>
      <c r="L5" s="22">
        <v>25584.128262041868</v>
      </c>
      <c r="M5" s="22"/>
      <c r="N5" s="22"/>
      <c r="P5" s="22">
        <v>109736.05</v>
      </c>
      <c r="Q5" s="22">
        <v>12970.234884836624</v>
      </c>
      <c r="R5" s="63">
        <v>0</v>
      </c>
      <c r="S5" s="22"/>
      <c r="U5" s="22">
        <v>5973.4512300060005</v>
      </c>
      <c r="W5" s="26">
        <v>2183</v>
      </c>
      <c r="X5" s="26">
        <v>2095</v>
      </c>
      <c r="Y5" s="27">
        <v>32.410501193317415</v>
      </c>
      <c r="Z5" s="26">
        <v>174</v>
      </c>
      <c r="AA5" s="27">
        <v>56.896551724137936</v>
      </c>
      <c r="AB5" s="26">
        <v>7198</v>
      </c>
      <c r="AD5" s="19">
        <v>0</v>
      </c>
      <c r="AF5" s="19">
        <v>459563.48000000004</v>
      </c>
      <c r="AG5" s="19"/>
      <c r="AH5" s="119">
        <v>3365351</v>
      </c>
      <c r="AJ5" s="33" t="s">
        <v>6</v>
      </c>
      <c r="AK5" s="43" t="e">
        <f>AK6+AK9</f>
        <v>#REF!</v>
      </c>
      <c r="AM5" s="33" t="s">
        <v>253</v>
      </c>
      <c r="AN5" s="38" t="e">
        <f>VLOOKUP($AK$2,'Diretrizes - Resumo'!$A$4:$S$30,19,)</f>
        <v>#REF!</v>
      </c>
      <c r="AR5" s="25"/>
    </row>
    <row r="6" spans="1:44" ht="16.5" thickBot="1">
      <c r="A6" s="29" t="s">
        <v>252</v>
      </c>
      <c r="B6" s="22">
        <v>571370.08000000007</v>
      </c>
      <c r="C6" s="22">
        <v>121138.20800000001</v>
      </c>
      <c r="D6" s="22">
        <f t="shared" si="3"/>
        <v>692508.28800000006</v>
      </c>
      <c r="E6" s="22">
        <v>46580.504000000001</v>
      </c>
      <c r="F6" s="22">
        <v>21504.728000000003</v>
      </c>
      <c r="G6" s="22">
        <f t="shared" si="4"/>
        <v>68085.232000000004</v>
      </c>
      <c r="H6" s="22">
        <v>580459.14</v>
      </c>
      <c r="I6" s="22">
        <v>67052.63</v>
      </c>
      <c r="J6" s="28">
        <f t="shared" si="2"/>
        <v>1408105.29</v>
      </c>
      <c r="K6" s="62">
        <v>0</v>
      </c>
      <c r="L6" s="22">
        <v>25660.497814048096</v>
      </c>
      <c r="M6" s="22"/>
      <c r="N6" s="22"/>
      <c r="P6" s="22">
        <v>110063.62</v>
      </c>
      <c r="Q6" s="22">
        <v>12732.700211732939</v>
      </c>
      <c r="R6" s="63">
        <v>0</v>
      </c>
      <c r="S6" s="22"/>
      <c r="U6" s="22">
        <v>5608.741874710001</v>
      </c>
      <c r="W6" s="26">
        <v>2200</v>
      </c>
      <c r="X6" s="26">
        <v>2182</v>
      </c>
      <c r="Y6" s="27">
        <v>32.447296058661777</v>
      </c>
      <c r="Z6" s="26">
        <v>260</v>
      </c>
      <c r="AA6" s="27">
        <v>52.692307692307693</v>
      </c>
      <c r="AB6" s="26">
        <v>6704</v>
      </c>
      <c r="AD6" s="19">
        <v>0</v>
      </c>
      <c r="AF6" s="19">
        <v>984059.28000000014</v>
      </c>
      <c r="AG6" s="19"/>
      <c r="AH6" s="119">
        <v>4269995</v>
      </c>
      <c r="AJ6" s="33" t="s">
        <v>7</v>
      </c>
      <c r="AK6" s="42" t="e">
        <f>SUM(AK7:AK8)</f>
        <v>#REF!</v>
      </c>
      <c r="AM6" s="33" t="s">
        <v>251</v>
      </c>
      <c r="AN6" s="38" t="e">
        <f>VLOOKUP($AK$2,'Diretrizes - Resumo'!$A$4:$M$30,12,)</f>
        <v>#REF!</v>
      </c>
      <c r="AR6" s="25"/>
    </row>
    <row r="7" spans="1:44" ht="16.5" thickBot="1">
      <c r="A7" s="29" t="s">
        <v>250</v>
      </c>
      <c r="B7" s="22">
        <v>199437.94400000002</v>
      </c>
      <c r="C7" s="22">
        <v>40871.728000000003</v>
      </c>
      <c r="D7" s="22">
        <f t="shared" si="3"/>
        <v>240309.67200000002</v>
      </c>
      <c r="E7" s="22">
        <v>33169.32</v>
      </c>
      <c r="F7" s="22">
        <v>22426.176000000003</v>
      </c>
      <c r="G7" s="22">
        <f t="shared" si="4"/>
        <v>55595.495999999999</v>
      </c>
      <c r="H7" s="22">
        <v>297156.28999999998</v>
      </c>
      <c r="I7" s="22">
        <v>29653.07</v>
      </c>
      <c r="J7" s="28">
        <f t="shared" si="2"/>
        <v>622714.52799999993</v>
      </c>
      <c r="K7" s="62">
        <v>0</v>
      </c>
      <c r="L7" s="22">
        <v>11617.791798420327</v>
      </c>
      <c r="M7" s="22">
        <v>18040</v>
      </c>
      <c r="N7" s="22">
        <v>629725.45006169006</v>
      </c>
      <c r="P7" s="22">
        <v>49831.31</v>
      </c>
      <c r="Q7" s="22">
        <v>5762.7040616900194</v>
      </c>
      <c r="R7" s="63">
        <v>0</v>
      </c>
      <c r="S7" s="22"/>
      <c r="U7" s="22">
        <v>2768.9817116520007</v>
      </c>
      <c r="W7" s="26">
        <v>859.6</v>
      </c>
      <c r="X7" s="26">
        <v>853.6</v>
      </c>
      <c r="Y7" s="27">
        <v>39.081537019681356</v>
      </c>
      <c r="Z7" s="26">
        <v>292</v>
      </c>
      <c r="AA7" s="27">
        <v>70.205479452054789</v>
      </c>
      <c r="AB7" s="26">
        <v>3432</v>
      </c>
      <c r="AD7" s="19">
        <v>0</v>
      </c>
      <c r="AF7" s="19">
        <v>829755.32</v>
      </c>
      <c r="AG7" s="19"/>
      <c r="AH7" s="119">
        <v>877613</v>
      </c>
      <c r="AJ7" s="40" t="s">
        <v>162</v>
      </c>
      <c r="AK7" s="38" t="e">
        <f>VLOOKUP($AK$2,'Diretrizes - Resumo'!$A$4:$I$30,2,)</f>
        <v>#REF!</v>
      </c>
      <c r="AM7" s="33" t="s">
        <v>249</v>
      </c>
      <c r="AN7" s="38" t="e">
        <f>VLOOKUP($AK$2,'Diretrizes - Resumo'!$A$4:$M$30,13,)</f>
        <v>#REF!</v>
      </c>
      <c r="AR7" s="25"/>
    </row>
    <row r="8" spans="1:44" ht="16.5" thickBot="1">
      <c r="A8" s="29" t="s">
        <v>248</v>
      </c>
      <c r="B8" s="22">
        <v>1635572.3840000003</v>
      </c>
      <c r="C8" s="22">
        <v>294898.40000000002</v>
      </c>
      <c r="D8" s="22">
        <f t="shared" si="3"/>
        <v>1930470.7840000005</v>
      </c>
      <c r="E8" s="22">
        <v>190196.36800000002</v>
      </c>
      <c r="F8" s="22">
        <v>80935.024000000005</v>
      </c>
      <c r="G8" s="22">
        <f t="shared" si="4"/>
        <v>271131.39199999999</v>
      </c>
      <c r="H8" s="22">
        <v>1581889.68</v>
      </c>
      <c r="I8" s="22">
        <v>190281.52</v>
      </c>
      <c r="J8" s="28">
        <f t="shared" si="2"/>
        <v>3973773.3760000002</v>
      </c>
      <c r="K8" s="62">
        <v>0</v>
      </c>
      <c r="L8" s="22">
        <v>72931.013699093732</v>
      </c>
      <c r="M8" s="22"/>
      <c r="N8" s="22"/>
      <c r="P8" s="22">
        <v>312817.45</v>
      </c>
      <c r="Q8" s="22">
        <v>37600.721619223594</v>
      </c>
      <c r="R8" s="63">
        <v>0</v>
      </c>
      <c r="S8" s="22"/>
      <c r="U8" s="22">
        <v>13509.034775547998</v>
      </c>
      <c r="W8" s="26">
        <v>7366.3</v>
      </c>
      <c r="X8" s="26">
        <v>6563.3</v>
      </c>
      <c r="Y8" s="27">
        <v>30.857952554355279</v>
      </c>
      <c r="Z8" s="26">
        <v>1025</v>
      </c>
      <c r="AA8" s="27">
        <v>50.926829268292686</v>
      </c>
      <c r="AB8" s="26">
        <v>18270</v>
      </c>
      <c r="AD8" s="19">
        <v>0</v>
      </c>
      <c r="AF8" s="19">
        <v>6314976.8100000005</v>
      </c>
      <c r="AG8" s="19"/>
      <c r="AH8" s="119">
        <v>14985284</v>
      </c>
      <c r="AJ8" s="40" t="s">
        <v>52</v>
      </c>
      <c r="AK8" s="38" t="e">
        <f>VLOOKUP($AK$2,'Diretrizes - Resumo'!$A$4:$I$30,3,)</f>
        <v>#REF!</v>
      </c>
      <c r="AM8" s="84" t="s">
        <v>247</v>
      </c>
      <c r="AN8" s="83" t="e">
        <f>VLOOKUP($AK$2,$A$4:$AF$30,29,)</f>
        <v>#REF!</v>
      </c>
      <c r="AR8" s="25"/>
    </row>
    <row r="9" spans="1:44" ht="16.5" thickBot="1">
      <c r="A9" s="29" t="s">
        <v>246</v>
      </c>
      <c r="B9" s="22">
        <v>1073890.6000000001</v>
      </c>
      <c r="C9" s="22">
        <v>168626.54399999999</v>
      </c>
      <c r="D9" s="22">
        <f t="shared" si="3"/>
        <v>1242517.1440000001</v>
      </c>
      <c r="E9" s="22">
        <v>95297.712</v>
      </c>
      <c r="F9" s="22">
        <v>29076.736000000001</v>
      </c>
      <c r="G9" s="22">
        <f t="shared" si="4"/>
        <v>124374.448</v>
      </c>
      <c r="H9" s="22">
        <v>1034072.71</v>
      </c>
      <c r="I9" s="22">
        <v>107937.7</v>
      </c>
      <c r="J9" s="28">
        <f t="shared" si="2"/>
        <v>2508902.0020000003</v>
      </c>
      <c r="K9" s="62">
        <v>0</v>
      </c>
      <c r="L9" s="22">
        <v>45719.891289323386</v>
      </c>
      <c r="M9" s="22"/>
      <c r="N9" s="22"/>
      <c r="P9" s="22">
        <v>196102.85</v>
      </c>
      <c r="Q9" s="22">
        <v>23608.631521290605</v>
      </c>
      <c r="R9" s="63">
        <v>0</v>
      </c>
      <c r="S9" s="22">
        <v>17423.81414516392</v>
      </c>
      <c r="U9" s="22">
        <v>8893.9349598320005</v>
      </c>
      <c r="W9" s="26">
        <v>4728</v>
      </c>
      <c r="X9" s="26">
        <v>4542</v>
      </c>
      <c r="Y9" s="27">
        <v>32.298546895640683</v>
      </c>
      <c r="Z9" s="26">
        <v>437</v>
      </c>
      <c r="AA9" s="27">
        <v>42.334096109839813</v>
      </c>
      <c r="AB9" s="26">
        <v>11943</v>
      </c>
      <c r="AD9" s="19">
        <v>0</v>
      </c>
      <c r="AF9" s="19">
        <v>1187299.8600000001</v>
      </c>
      <c r="AG9" s="19"/>
      <c r="AH9" s="119">
        <v>9240580</v>
      </c>
      <c r="AJ9" s="33" t="s">
        <v>8</v>
      </c>
      <c r="AK9" s="41" t="e">
        <f>SUM(AK10:AK11)</f>
        <v>#REF!</v>
      </c>
      <c r="AM9" s="33" t="s">
        <v>245</v>
      </c>
      <c r="AN9" s="38" t="e">
        <f>VLOOKUP($AK$2,$A$4:$AF$30,32,)</f>
        <v>#REF!</v>
      </c>
      <c r="AR9" s="25"/>
    </row>
    <row r="10" spans="1:44" ht="16.5" thickBot="1">
      <c r="A10" s="29" t="s">
        <v>244</v>
      </c>
      <c r="B10" s="22">
        <v>1778840.4559999995</v>
      </c>
      <c r="C10" s="22">
        <v>272509.68800000002</v>
      </c>
      <c r="D10" s="22">
        <f t="shared" si="3"/>
        <v>2051350.1439999996</v>
      </c>
      <c r="E10" s="22">
        <v>133096.54399999999</v>
      </c>
      <c r="F10" s="22">
        <v>53126.96</v>
      </c>
      <c r="G10" s="22">
        <f t="shared" si="4"/>
        <v>186223.50399999999</v>
      </c>
      <c r="H10" s="22">
        <v>1539550.1</v>
      </c>
      <c r="I10" s="22">
        <v>216423.76</v>
      </c>
      <c r="J10" s="28">
        <f t="shared" si="2"/>
        <v>3993547.5079999994</v>
      </c>
      <c r="K10" s="62">
        <v>0</v>
      </c>
      <c r="L10" s="22">
        <v>72880.70202486412</v>
      </c>
      <c r="M10" s="22"/>
      <c r="N10" s="22"/>
      <c r="P10" s="22">
        <v>312601.65000000002</v>
      </c>
      <c r="Q10" s="22">
        <v>42200.896909131261</v>
      </c>
      <c r="R10" s="63">
        <v>0</v>
      </c>
      <c r="S10" s="22"/>
      <c r="U10" s="22">
        <v>14886.088719709998</v>
      </c>
      <c r="W10" s="26">
        <v>6845.6</v>
      </c>
      <c r="X10" s="26">
        <v>6318.6</v>
      </c>
      <c r="Y10" s="27">
        <v>26.581837748868423</v>
      </c>
      <c r="Z10" s="26">
        <v>804</v>
      </c>
      <c r="AA10" s="27">
        <v>56.218905472636813</v>
      </c>
      <c r="AB10" s="26">
        <v>17781</v>
      </c>
      <c r="AD10" s="19">
        <v>0</v>
      </c>
      <c r="AF10" s="19">
        <v>1020703.8599999999</v>
      </c>
      <c r="AG10" s="19"/>
      <c r="AH10" s="119">
        <v>3094325</v>
      </c>
      <c r="AJ10" s="40" t="s">
        <v>163</v>
      </c>
      <c r="AK10" s="38" t="e">
        <f>VLOOKUP($AK$2,'Diretrizes - Resumo'!$A$4:$J$30,5,)</f>
        <v>#REF!</v>
      </c>
      <c r="AR10" s="25"/>
    </row>
    <row r="11" spans="1:44" ht="16.5" thickBot="1">
      <c r="A11" s="29" t="s">
        <v>243</v>
      </c>
      <c r="B11" s="22">
        <v>1437738.3759999999</v>
      </c>
      <c r="C11" s="22">
        <v>82239.352000000014</v>
      </c>
      <c r="D11" s="22">
        <f t="shared" si="3"/>
        <v>1519977.7279999999</v>
      </c>
      <c r="E11" s="22">
        <v>128752.43200000002</v>
      </c>
      <c r="F11" s="22">
        <v>14149.88</v>
      </c>
      <c r="G11" s="22">
        <f t="shared" si="4"/>
        <v>142902.31200000001</v>
      </c>
      <c r="H11" s="22">
        <v>1327246.1399999999</v>
      </c>
      <c r="I11" s="22">
        <v>149580.47</v>
      </c>
      <c r="J11" s="28">
        <f t="shared" si="2"/>
        <v>3139706.6499999994</v>
      </c>
      <c r="K11" s="62">
        <v>0</v>
      </c>
      <c r="L11" s="22">
        <v>57264.654858299888</v>
      </c>
      <c r="M11" s="22"/>
      <c r="N11" s="22"/>
      <c r="P11" s="22">
        <v>245620.93</v>
      </c>
      <c r="Q11" s="22">
        <v>29557.581779246742</v>
      </c>
      <c r="R11" s="63">
        <v>0</v>
      </c>
      <c r="S11" s="22"/>
      <c r="U11" s="22">
        <v>11997.369723430005</v>
      </c>
      <c r="W11" s="26">
        <v>4055</v>
      </c>
      <c r="X11" s="26">
        <v>3960</v>
      </c>
      <c r="Y11" s="27">
        <v>6.868686868686865</v>
      </c>
      <c r="Z11" s="26">
        <v>484</v>
      </c>
      <c r="AA11" s="27">
        <v>29.545454545454547</v>
      </c>
      <c r="AB11" s="26">
        <v>15329</v>
      </c>
      <c r="AD11" s="19">
        <v>0</v>
      </c>
      <c r="AF11" s="19">
        <v>2085182.6499999997</v>
      </c>
      <c r="AG11" s="19"/>
      <c r="AH11" s="119">
        <v>4108508</v>
      </c>
      <c r="AJ11" s="40" t="s">
        <v>53</v>
      </c>
      <c r="AK11" s="38" t="e">
        <f>VLOOKUP($AK$2,'Diretrizes - Resumo'!$A$4:$I$30,6,)</f>
        <v>#REF!</v>
      </c>
      <c r="AR11" s="25"/>
    </row>
    <row r="12" spans="1:44" ht="16.5" thickBot="1">
      <c r="A12" s="29" t="s">
        <v>241</v>
      </c>
      <c r="B12" s="22">
        <v>1379093.6640000001</v>
      </c>
      <c r="C12" s="22">
        <v>221931.152</v>
      </c>
      <c r="D12" s="22">
        <f t="shared" si="3"/>
        <v>1601024.8160000001</v>
      </c>
      <c r="E12" s="22">
        <v>82964.975999999995</v>
      </c>
      <c r="F12" s="22">
        <v>90843.423999999999</v>
      </c>
      <c r="G12" s="22">
        <f t="shared" si="4"/>
        <v>173808.4</v>
      </c>
      <c r="H12" s="22">
        <v>2651635</v>
      </c>
      <c r="I12" s="22">
        <v>158024.91</v>
      </c>
      <c r="J12" s="28">
        <f t="shared" si="2"/>
        <v>4584493.1260000002</v>
      </c>
      <c r="K12" s="62">
        <v>0</v>
      </c>
      <c r="L12" s="22">
        <v>84498.899430433084</v>
      </c>
      <c r="M12" s="22"/>
      <c r="N12" s="22"/>
      <c r="P12" s="22">
        <v>362434.7</v>
      </c>
      <c r="Q12" s="22">
        <v>43313.642250348523</v>
      </c>
      <c r="R12" s="63">
        <v>0</v>
      </c>
      <c r="S12" s="22"/>
      <c r="U12" s="22">
        <v>20244.566489575998</v>
      </c>
      <c r="W12" s="26">
        <v>5336</v>
      </c>
      <c r="X12" s="26">
        <v>5100</v>
      </c>
      <c r="Y12" s="27">
        <v>28.274509803921561</v>
      </c>
      <c r="Z12" s="26">
        <v>721</v>
      </c>
      <c r="AA12" s="27">
        <v>69.625520110957012</v>
      </c>
      <c r="AB12" s="26">
        <v>30625</v>
      </c>
      <c r="AD12" s="19">
        <v>0</v>
      </c>
      <c r="AF12" s="19">
        <v>2015911.7999999998</v>
      </c>
      <c r="AG12" s="19"/>
      <c r="AH12" s="119">
        <v>7206589</v>
      </c>
      <c r="AJ12" s="35" t="s">
        <v>49</v>
      </c>
      <c r="AK12" s="38" t="e">
        <f>VLOOKUP($AK$2,'Diretrizes - Resumo'!$A$4:$I$30,8,)</f>
        <v>#REF!</v>
      </c>
      <c r="AR12" s="25"/>
    </row>
    <row r="13" spans="1:44" ht="16.5" thickBot="1">
      <c r="A13" s="29" t="s">
        <v>240</v>
      </c>
      <c r="B13" s="22">
        <v>511040.36800000002</v>
      </c>
      <c r="C13" s="22">
        <v>104363.144</v>
      </c>
      <c r="D13" s="22">
        <f t="shared" si="3"/>
        <v>615403.51199999999</v>
      </c>
      <c r="E13" s="22">
        <v>41637.815999999999</v>
      </c>
      <c r="F13" s="22">
        <v>37561.279999999999</v>
      </c>
      <c r="G13" s="22">
        <f t="shared" si="4"/>
        <v>79199.09599999999</v>
      </c>
      <c r="H13" s="22">
        <v>479848.53</v>
      </c>
      <c r="I13" s="22">
        <v>52850.3</v>
      </c>
      <c r="J13" s="28">
        <f t="shared" si="2"/>
        <v>1227301.4380000001</v>
      </c>
      <c r="K13" s="62">
        <v>0</v>
      </c>
      <c r="L13" s="22">
        <v>22699.741551492109</v>
      </c>
      <c r="M13" s="22">
        <v>17240</v>
      </c>
      <c r="N13" s="22">
        <v>124511.19545994185</v>
      </c>
      <c r="P13" s="22">
        <v>97364.27</v>
      </c>
      <c r="Q13" s="22">
        <v>11374.589459941722</v>
      </c>
      <c r="R13" s="63">
        <v>0</v>
      </c>
      <c r="S13" s="22"/>
      <c r="U13" s="22">
        <v>4047.925050624001</v>
      </c>
      <c r="W13" s="26">
        <v>2161</v>
      </c>
      <c r="X13" s="26">
        <v>2133</v>
      </c>
      <c r="Y13" s="27">
        <v>35.067979371776829</v>
      </c>
      <c r="Z13" s="26">
        <v>301</v>
      </c>
      <c r="AA13" s="27">
        <v>63.455149501661126</v>
      </c>
      <c r="AB13" s="26">
        <v>5542</v>
      </c>
      <c r="AD13" s="19">
        <v>0</v>
      </c>
      <c r="AF13" s="19">
        <v>67318.429999999993</v>
      </c>
      <c r="AG13" s="19"/>
      <c r="AH13" s="119">
        <v>7153262</v>
      </c>
      <c r="AJ13" s="35" t="s">
        <v>239</v>
      </c>
      <c r="AK13" s="38" t="e">
        <f>VLOOKUP($AK$2,'Diretrizes - Resumo'!$A$4:$I$30,9,)</f>
        <v>#REF!</v>
      </c>
      <c r="AR13" s="25"/>
    </row>
    <row r="14" spans="1:44" ht="16.5" thickBot="1">
      <c r="A14" s="29" t="s">
        <v>237</v>
      </c>
      <c r="B14" s="22">
        <v>4786978.784</v>
      </c>
      <c r="C14" s="22">
        <v>672571.16</v>
      </c>
      <c r="D14" s="22">
        <f t="shared" si="3"/>
        <v>5459549.9440000001</v>
      </c>
      <c r="E14" s="22">
        <v>430923.35200000007</v>
      </c>
      <c r="F14" s="22">
        <v>80833.144</v>
      </c>
      <c r="G14" s="22">
        <f t="shared" si="4"/>
        <v>511756.49600000004</v>
      </c>
      <c r="H14" s="22">
        <v>4935114.83</v>
      </c>
      <c r="I14" s="22">
        <v>592965.98</v>
      </c>
      <c r="J14" s="28">
        <f t="shared" si="2"/>
        <v>11499387.25</v>
      </c>
      <c r="K14" s="62">
        <v>0</v>
      </c>
      <c r="L14" s="22">
        <v>208977.01377463364</v>
      </c>
      <c r="M14" s="22"/>
      <c r="N14" s="22"/>
      <c r="P14" s="22">
        <v>896349.2</v>
      </c>
      <c r="Q14" s="22">
        <v>111232.1710148775</v>
      </c>
      <c r="R14" s="63">
        <v>0</v>
      </c>
      <c r="S14" s="22"/>
      <c r="U14" s="22">
        <v>47746.521404244006</v>
      </c>
      <c r="W14" s="26">
        <v>17458</v>
      </c>
      <c r="X14" s="26">
        <v>16749</v>
      </c>
      <c r="Y14" s="27">
        <v>24.67610006567557</v>
      </c>
      <c r="Z14" s="26">
        <v>1892</v>
      </c>
      <c r="AA14" s="27">
        <v>39.746300211416482</v>
      </c>
      <c r="AB14" s="26">
        <v>56998</v>
      </c>
      <c r="AD14" s="19">
        <v>0</v>
      </c>
      <c r="AF14" s="19">
        <v>9291279.5399999991</v>
      </c>
      <c r="AG14" s="19"/>
      <c r="AH14" s="119">
        <v>21411923</v>
      </c>
      <c r="AJ14" s="35" t="s">
        <v>9</v>
      </c>
      <c r="AK14" s="37"/>
      <c r="AR14" s="25"/>
    </row>
    <row r="15" spans="1:44" ht="16.5" thickBot="1">
      <c r="A15" s="29" t="s">
        <v>235</v>
      </c>
      <c r="B15" s="22">
        <v>854276.04800000007</v>
      </c>
      <c r="C15" s="22">
        <v>228507.67200000002</v>
      </c>
      <c r="D15" s="22">
        <f t="shared" si="3"/>
        <v>1082783.7200000002</v>
      </c>
      <c r="E15" s="22">
        <v>121900.35200000001</v>
      </c>
      <c r="F15" s="22">
        <v>53173.90400000001</v>
      </c>
      <c r="G15" s="22">
        <f t="shared" si="4"/>
        <v>175074.25600000002</v>
      </c>
      <c r="H15" s="22">
        <v>1860776.74</v>
      </c>
      <c r="I15" s="22">
        <v>144739.51999999999</v>
      </c>
      <c r="J15" s="28">
        <f t="shared" si="2"/>
        <v>3263374.236</v>
      </c>
      <c r="K15" s="62">
        <v>0</v>
      </c>
      <c r="L15" s="22">
        <v>59706.587859465071</v>
      </c>
      <c r="M15" s="22"/>
      <c r="N15" s="22"/>
      <c r="P15" s="22">
        <v>256094.92</v>
      </c>
      <c r="Q15" s="22">
        <v>30235.562340461736</v>
      </c>
      <c r="R15" s="63">
        <v>0</v>
      </c>
      <c r="S15" s="22"/>
      <c r="U15" s="22">
        <v>14188.692829558004</v>
      </c>
      <c r="W15" s="26">
        <v>3649</v>
      </c>
      <c r="X15" s="26">
        <v>3554</v>
      </c>
      <c r="Y15" s="27">
        <v>36.381541924592007</v>
      </c>
      <c r="Z15" s="26">
        <v>686</v>
      </c>
      <c r="AA15" s="27">
        <v>52.915451895043731</v>
      </c>
      <c r="AB15" s="26">
        <v>21491</v>
      </c>
      <c r="AD15" s="19">
        <v>0</v>
      </c>
      <c r="AF15" s="19">
        <v>715780.57</v>
      </c>
      <c r="AG15" s="19"/>
      <c r="AH15" s="119">
        <v>2839188</v>
      </c>
      <c r="AJ15" s="35" t="s">
        <v>105</v>
      </c>
      <c r="AK15" s="34" t="e">
        <f>VLOOKUP($AK$2,'Diretrizes - Resumo'!$A$4:$U$30,21,)</f>
        <v>#REF!</v>
      </c>
      <c r="AR15" s="25"/>
    </row>
    <row r="16" spans="1:44" ht="16.5" thickBot="1">
      <c r="A16" s="29" t="s">
        <v>233</v>
      </c>
      <c r="B16" s="22">
        <v>1059141.1679999998</v>
      </c>
      <c r="C16" s="22">
        <v>128444.17600000001</v>
      </c>
      <c r="D16" s="22">
        <f t="shared" si="3"/>
        <v>1187585.3439999998</v>
      </c>
      <c r="E16" s="22">
        <v>108266.90399999998</v>
      </c>
      <c r="F16" s="22">
        <v>47635.456000000006</v>
      </c>
      <c r="G16" s="22">
        <f t="shared" si="4"/>
        <v>155902.35999999999</v>
      </c>
      <c r="H16" s="22">
        <v>2977710.34</v>
      </c>
      <c r="I16" s="22">
        <v>129635.94</v>
      </c>
      <c r="J16" s="28">
        <f t="shared" si="2"/>
        <v>4450833.9839999992</v>
      </c>
      <c r="K16" s="62">
        <v>0</v>
      </c>
      <c r="L16" s="22">
        <v>81621.154888239675</v>
      </c>
      <c r="M16" s="22"/>
      <c r="N16" s="22"/>
      <c r="P16" s="22">
        <v>350091.41</v>
      </c>
      <c r="Q16" s="22">
        <v>42028.667586903612</v>
      </c>
      <c r="R16" s="63">
        <v>0</v>
      </c>
      <c r="S16" s="22"/>
      <c r="U16" s="22">
        <v>18539.373852427998</v>
      </c>
      <c r="W16" s="26">
        <v>3626</v>
      </c>
      <c r="X16" s="26">
        <v>3563</v>
      </c>
      <c r="Y16" s="27">
        <v>23.294976143699131</v>
      </c>
      <c r="Z16" s="26">
        <v>643</v>
      </c>
      <c r="AA16" s="27">
        <v>55.520995334370141</v>
      </c>
      <c r="AB16" s="26">
        <v>34391</v>
      </c>
      <c r="AD16" s="19">
        <v>0</v>
      </c>
      <c r="AF16" s="19">
        <v>1836973.55</v>
      </c>
      <c r="AG16" s="19"/>
      <c r="AH16" s="119">
        <v>3567234</v>
      </c>
      <c r="AJ16" s="35" t="s">
        <v>10</v>
      </c>
      <c r="AK16" s="34" t="e">
        <f>VLOOKUP($AK$2,'Diretrizes - Resumo'!$A$4:$N$30,14,)</f>
        <v>#REF!</v>
      </c>
      <c r="AR16" s="25"/>
    </row>
    <row r="17" spans="1:44" ht="16.5" thickBot="1">
      <c r="A17" s="29" t="s">
        <v>231</v>
      </c>
      <c r="B17" s="22">
        <v>631256.57600000012</v>
      </c>
      <c r="C17" s="22">
        <v>288818.38400000002</v>
      </c>
      <c r="D17" s="22">
        <f t="shared" si="3"/>
        <v>920074.9600000002</v>
      </c>
      <c r="E17" s="22">
        <v>51412.072</v>
      </c>
      <c r="F17" s="22">
        <v>30925.567999999999</v>
      </c>
      <c r="G17" s="22">
        <f t="shared" si="4"/>
        <v>82337.64</v>
      </c>
      <c r="H17" s="22">
        <v>718127.7</v>
      </c>
      <c r="I17" s="22">
        <v>77424.31</v>
      </c>
      <c r="J17" s="28">
        <f t="shared" si="2"/>
        <v>1797964.6100000003</v>
      </c>
      <c r="K17" s="62">
        <v>0</v>
      </c>
      <c r="L17" s="22">
        <v>32368.105936475167</v>
      </c>
      <c r="M17" s="22"/>
      <c r="N17" s="22"/>
      <c r="P17" s="22">
        <v>138834.04999999999</v>
      </c>
      <c r="Q17" s="22">
        <v>16260.147768444294</v>
      </c>
      <c r="R17" s="63">
        <v>0</v>
      </c>
      <c r="S17" s="22"/>
      <c r="U17" s="22">
        <v>7872.5147328100011</v>
      </c>
      <c r="W17" s="26">
        <v>3191.6</v>
      </c>
      <c r="X17" s="26">
        <v>3024.6</v>
      </c>
      <c r="Y17" s="27">
        <v>42.306420683726778</v>
      </c>
      <c r="Z17" s="26">
        <v>435</v>
      </c>
      <c r="AA17" s="27">
        <v>68.735632183908052</v>
      </c>
      <c r="AB17" s="26">
        <v>8294</v>
      </c>
      <c r="AD17" s="19">
        <v>0</v>
      </c>
      <c r="AF17" s="19">
        <v>1313598.9600000002</v>
      </c>
      <c r="AG17" s="19"/>
      <c r="AH17" s="119">
        <v>8777124</v>
      </c>
      <c r="AJ17" s="10"/>
      <c r="AK17" s="31"/>
      <c r="AR17" s="25"/>
    </row>
    <row r="18" spans="1:44" ht="16.5" thickBot="1">
      <c r="A18" s="29" t="s">
        <v>230</v>
      </c>
      <c r="B18" s="22">
        <v>779545.16800000006</v>
      </c>
      <c r="C18" s="22">
        <v>158167.88800000001</v>
      </c>
      <c r="D18" s="22">
        <f t="shared" si="3"/>
        <v>937713.0560000001</v>
      </c>
      <c r="E18" s="22">
        <v>67108.960000000006</v>
      </c>
      <c r="F18" s="22">
        <v>26325.712</v>
      </c>
      <c r="G18" s="22">
        <f t="shared" si="4"/>
        <v>93434.672000000006</v>
      </c>
      <c r="H18" s="22">
        <v>832331.99</v>
      </c>
      <c r="I18" s="22">
        <v>102491.38</v>
      </c>
      <c r="J18" s="28">
        <f t="shared" si="2"/>
        <v>1965971.0980000002</v>
      </c>
      <c r="K18" s="62">
        <v>0</v>
      </c>
      <c r="L18" s="22">
        <v>36436.63269749692</v>
      </c>
      <c r="M18" s="22"/>
      <c r="N18" s="22"/>
      <c r="P18" s="22">
        <v>156284.88</v>
      </c>
      <c r="Q18" s="22">
        <v>18644.740937998373</v>
      </c>
      <c r="R18" s="63">
        <v>0</v>
      </c>
      <c r="S18" s="22">
        <v>15265.447867322171</v>
      </c>
      <c r="U18" s="22">
        <v>8597.2352596519995</v>
      </c>
      <c r="W18" s="26">
        <v>3134</v>
      </c>
      <c r="X18" s="26">
        <v>3068</v>
      </c>
      <c r="Y18" s="27">
        <v>30.019556714471975</v>
      </c>
      <c r="Z18" s="26">
        <v>273</v>
      </c>
      <c r="AA18" s="27">
        <v>35.164835164835168</v>
      </c>
      <c r="AB18" s="26">
        <v>9613</v>
      </c>
      <c r="AD18" s="19">
        <v>0</v>
      </c>
      <c r="AF18" s="19">
        <v>1288484.52</v>
      </c>
      <c r="AG18" s="19"/>
      <c r="AH18" s="119">
        <v>4059905</v>
      </c>
      <c r="AJ18" s="546" t="s">
        <v>242</v>
      </c>
      <c r="AK18" s="547"/>
      <c r="AR18" s="25"/>
    </row>
    <row r="19" spans="1:44" ht="16.5" thickBot="1">
      <c r="A19" s="29" t="s">
        <v>205</v>
      </c>
      <c r="B19" s="22">
        <v>1465865.0480000004</v>
      </c>
      <c r="C19" s="22">
        <v>195462.53600000002</v>
      </c>
      <c r="D19" s="22">
        <f t="shared" si="3"/>
        <v>1661327.5840000005</v>
      </c>
      <c r="E19" s="22">
        <v>118013.40800000001</v>
      </c>
      <c r="F19" s="22">
        <v>26716.376000000004</v>
      </c>
      <c r="G19" s="22">
        <f t="shared" si="4"/>
        <v>144729.78400000001</v>
      </c>
      <c r="H19" s="22">
        <v>1582322.6</v>
      </c>
      <c r="I19" s="22">
        <v>186360.9</v>
      </c>
      <c r="J19" s="28">
        <f t="shared" si="2"/>
        <v>3574740.8680000007</v>
      </c>
      <c r="K19" s="62">
        <v>0</v>
      </c>
      <c r="L19" s="22">
        <v>65037.65631003493</v>
      </c>
      <c r="M19" s="22"/>
      <c r="N19" s="22"/>
      <c r="P19" s="22">
        <v>278961.07</v>
      </c>
      <c r="Q19" s="22">
        <v>33917.863196986669</v>
      </c>
      <c r="R19" s="63">
        <v>0</v>
      </c>
      <c r="S19" s="22"/>
      <c r="U19" s="22">
        <v>13702.667599894003</v>
      </c>
      <c r="W19" s="26">
        <v>5504.8</v>
      </c>
      <c r="X19" s="26">
        <v>5056.8</v>
      </c>
      <c r="Y19" s="27">
        <v>22.737699731055216</v>
      </c>
      <c r="Z19" s="26">
        <v>537</v>
      </c>
      <c r="AA19" s="27">
        <v>38.175046554934823</v>
      </c>
      <c r="AB19" s="26">
        <v>18275</v>
      </c>
      <c r="AD19" s="19">
        <v>0</v>
      </c>
      <c r="AF19" s="19">
        <v>781387.39999999991</v>
      </c>
      <c r="AG19" s="19"/>
      <c r="AH19" s="119">
        <v>9674793</v>
      </c>
      <c r="AJ19" s="86" t="s">
        <v>298</v>
      </c>
      <c r="AK19" s="32" t="e">
        <f>VLOOKUP($AK$2,'Diretrizes - Resumo'!$A$4:$AB$30,23,)</f>
        <v>#REF!</v>
      </c>
      <c r="AR19" s="25"/>
    </row>
    <row r="20" spans="1:44" ht="16.5" thickBot="1">
      <c r="A20" s="29" t="s">
        <v>229</v>
      </c>
      <c r="B20" s="22">
        <v>441365.21600000001</v>
      </c>
      <c r="C20" s="22">
        <v>55796.368000000009</v>
      </c>
      <c r="D20" s="22">
        <f t="shared" si="3"/>
        <v>497161.58400000003</v>
      </c>
      <c r="E20" s="22">
        <v>58238.896000000001</v>
      </c>
      <c r="F20" s="22">
        <v>10494.816000000001</v>
      </c>
      <c r="G20" s="22">
        <f t="shared" si="4"/>
        <v>68733.712</v>
      </c>
      <c r="H20" s="22">
        <v>415430.03</v>
      </c>
      <c r="I20" s="22">
        <v>44159.64</v>
      </c>
      <c r="J20" s="28">
        <f t="shared" si="2"/>
        <v>1025484.966</v>
      </c>
      <c r="K20" s="62">
        <v>0</v>
      </c>
      <c r="L20" s="22">
        <v>18707.909105583629</v>
      </c>
      <c r="M20" s="22">
        <v>16840</v>
      </c>
      <c r="N20" s="22">
        <v>323635.37833657151</v>
      </c>
      <c r="P20" s="22">
        <v>80242.41</v>
      </c>
      <c r="Q20" s="22">
        <v>9280.7303365715197</v>
      </c>
      <c r="R20" s="63">
        <v>0</v>
      </c>
      <c r="S20" s="22"/>
      <c r="U20" s="22">
        <v>3293.3190637360003</v>
      </c>
      <c r="W20" s="26">
        <v>1641</v>
      </c>
      <c r="X20" s="26">
        <v>1599</v>
      </c>
      <c r="Y20" s="27">
        <v>25.203252032520325</v>
      </c>
      <c r="Z20" s="26">
        <v>275</v>
      </c>
      <c r="AA20" s="27">
        <v>43.63636363636364</v>
      </c>
      <c r="AB20" s="26">
        <v>4798</v>
      </c>
      <c r="AD20" s="19">
        <v>0</v>
      </c>
      <c r="AF20" s="19">
        <v>102180.46</v>
      </c>
      <c r="AG20" s="19"/>
      <c r="AH20" s="119">
        <v>3289290</v>
      </c>
      <c r="AJ20" s="86" t="s">
        <v>299</v>
      </c>
      <c r="AK20" s="32" t="e">
        <f>VLOOKUP($AK$2,'Diretrizes - Resumo'!$A$4:$AB$30,24,)</f>
        <v>#REF!</v>
      </c>
      <c r="AR20" s="25"/>
    </row>
    <row r="21" spans="1:44" ht="16.5" thickBot="1">
      <c r="A21" s="29" t="s">
        <v>228</v>
      </c>
      <c r="B21" s="22">
        <v>3584729.5519999997</v>
      </c>
      <c r="C21" s="22">
        <v>483287.37599999999</v>
      </c>
      <c r="D21" s="22">
        <f t="shared" si="3"/>
        <v>4068016.9279999998</v>
      </c>
      <c r="E21" s="22">
        <v>492594.59999999992</v>
      </c>
      <c r="F21" s="22">
        <v>130089.73600000002</v>
      </c>
      <c r="G21" s="22">
        <f t="shared" si="4"/>
        <v>622684.33599999989</v>
      </c>
      <c r="H21" s="22">
        <v>6433970.46</v>
      </c>
      <c r="I21" s="22">
        <v>444986.87</v>
      </c>
      <c r="J21" s="28">
        <f t="shared" si="2"/>
        <v>11569658.594000001</v>
      </c>
      <c r="K21" s="62">
        <v>0</v>
      </c>
      <c r="L21" s="22">
        <v>211768.97709494023</v>
      </c>
      <c r="M21" s="22"/>
      <c r="N21" s="22"/>
      <c r="P21" s="22">
        <v>908324.56</v>
      </c>
      <c r="Q21" s="22">
        <v>109891.24211973045</v>
      </c>
      <c r="R21" s="63">
        <v>0</v>
      </c>
      <c r="S21" s="22"/>
      <c r="U21" s="22">
        <v>55576.003279602017</v>
      </c>
      <c r="W21" s="26">
        <v>14181</v>
      </c>
      <c r="X21" s="26">
        <v>13769</v>
      </c>
      <c r="Y21" s="27">
        <v>30.626770281066158</v>
      </c>
      <c r="Z21" s="26">
        <v>2791</v>
      </c>
      <c r="AA21" s="27">
        <v>53.31422429236833</v>
      </c>
      <c r="AB21" s="26">
        <v>74309</v>
      </c>
      <c r="AD21" s="19">
        <v>0</v>
      </c>
      <c r="AF21" s="19">
        <v>13878149.049999999</v>
      </c>
      <c r="AG21" s="19"/>
      <c r="AH21" s="119">
        <v>11597484</v>
      </c>
      <c r="AJ21" s="85" t="s">
        <v>238</v>
      </c>
      <c r="AK21" s="36" t="e">
        <f>VLOOKUP($AK$2,'Diretrizes - Resumo'!$A$4:$AB$30,25,)</f>
        <v>#REF!</v>
      </c>
      <c r="AR21" s="25"/>
    </row>
    <row r="22" spans="1:44" ht="16.5" thickBot="1">
      <c r="A22" s="29" t="s">
        <v>227</v>
      </c>
      <c r="B22" s="22">
        <v>4637544.568</v>
      </c>
      <c r="C22" s="22">
        <v>1377724.6320000002</v>
      </c>
      <c r="D22" s="22">
        <f t="shared" si="3"/>
        <v>6015269.2000000002</v>
      </c>
      <c r="E22" s="22">
        <v>613813.02400000009</v>
      </c>
      <c r="F22" s="22">
        <v>307902.50400000002</v>
      </c>
      <c r="G22" s="22">
        <f t="shared" si="4"/>
        <v>921715.52800000017</v>
      </c>
      <c r="H22" s="22">
        <v>5158328.38</v>
      </c>
      <c r="I22" s="22">
        <v>665242.22</v>
      </c>
      <c r="J22" s="28">
        <f t="shared" si="2"/>
        <v>12760555.328</v>
      </c>
      <c r="K22" s="62">
        <v>0</v>
      </c>
      <c r="L22" s="22">
        <v>225894.11830159381</v>
      </c>
      <c r="M22" s="22"/>
      <c r="N22" s="22"/>
      <c r="P22" s="22">
        <v>968910.45</v>
      </c>
      <c r="Q22" s="22">
        <v>127374.78823620477</v>
      </c>
      <c r="R22" s="63">
        <v>0</v>
      </c>
      <c r="S22" s="22">
        <v>157897.52974945167</v>
      </c>
      <c r="U22" s="22">
        <v>38847.512405962007</v>
      </c>
      <c r="W22" s="26">
        <v>21599.333333333332</v>
      </c>
      <c r="X22" s="26">
        <v>18095.333333333332</v>
      </c>
      <c r="Y22" s="27">
        <v>27.810116788858991</v>
      </c>
      <c r="Z22" s="26">
        <v>2932</v>
      </c>
      <c r="AA22" s="27">
        <v>44.611186903137792</v>
      </c>
      <c r="AB22" s="26">
        <v>59576</v>
      </c>
      <c r="AD22" s="19">
        <v>0</v>
      </c>
      <c r="AF22" s="19">
        <v>5939954.9100000001</v>
      </c>
      <c r="AG22" s="19"/>
      <c r="AH22" s="119">
        <v>17463349</v>
      </c>
      <c r="AJ22" s="33" t="s">
        <v>236</v>
      </c>
      <c r="AK22" s="32" t="e">
        <f>VLOOKUP($AK$2,'Diretrizes - Resumo'!$A$4:$AB$30,26,)</f>
        <v>#REF!</v>
      </c>
      <c r="AR22" s="25"/>
    </row>
    <row r="23" spans="1:44" ht="16.5" thickBot="1">
      <c r="A23" s="29" t="s">
        <v>226</v>
      </c>
      <c r="B23" s="22">
        <v>713019</v>
      </c>
      <c r="C23" s="22">
        <v>157137.48799999998</v>
      </c>
      <c r="D23" s="22">
        <f t="shared" si="3"/>
        <v>870156.48800000001</v>
      </c>
      <c r="E23" s="22">
        <v>52927.455999999998</v>
      </c>
      <c r="F23" s="22">
        <v>39673.744000000006</v>
      </c>
      <c r="G23" s="22">
        <f t="shared" si="4"/>
        <v>92601.200000000012</v>
      </c>
      <c r="H23" s="22">
        <v>877269.09</v>
      </c>
      <c r="I23" s="22">
        <v>81554.3</v>
      </c>
      <c r="J23" s="28">
        <f t="shared" si="2"/>
        <v>1921581.0780000002</v>
      </c>
      <c r="K23" s="62">
        <v>0</v>
      </c>
      <c r="L23" s="22">
        <v>35226.751940680093</v>
      </c>
      <c r="M23" s="22"/>
      <c r="N23" s="22"/>
      <c r="P23" s="22">
        <v>151095.43</v>
      </c>
      <c r="Q23" s="22">
        <v>18135.485503182223</v>
      </c>
      <c r="R23" s="63">
        <v>0</v>
      </c>
      <c r="S23" s="22"/>
      <c r="U23" s="22">
        <v>7447.4280785060009</v>
      </c>
      <c r="W23" s="26">
        <v>2816</v>
      </c>
      <c r="X23" s="26">
        <v>2736</v>
      </c>
      <c r="Y23" s="27">
        <v>30.701754385964904</v>
      </c>
      <c r="Z23" s="26">
        <v>316</v>
      </c>
      <c r="AA23" s="27">
        <v>55.696202531645575</v>
      </c>
      <c r="AB23" s="26">
        <v>10132</v>
      </c>
      <c r="AD23" s="19">
        <v>0</v>
      </c>
      <c r="AF23" s="19">
        <v>1125992.78</v>
      </c>
      <c r="AG23" s="19"/>
      <c r="AH23" s="119">
        <v>3560903</v>
      </c>
      <c r="AJ23" s="33" t="s">
        <v>234</v>
      </c>
      <c r="AK23" s="36" t="e">
        <f>VLOOKUP($AK$2,'Diretrizes - Resumo'!$A$4:$AB$30,27,)</f>
        <v>#REF!</v>
      </c>
      <c r="AR23" s="25"/>
    </row>
    <row r="24" spans="1:44" ht="16.5" thickBot="1">
      <c r="A24" s="29" t="s">
        <v>225</v>
      </c>
      <c r="B24" s="22">
        <v>376617.67199999996</v>
      </c>
      <c r="C24" s="22">
        <v>50792.112000000001</v>
      </c>
      <c r="D24" s="22">
        <f t="shared" si="3"/>
        <v>427409.78399999999</v>
      </c>
      <c r="E24" s="22">
        <v>41183.200000000004</v>
      </c>
      <c r="F24" s="22">
        <v>14584.256000000001</v>
      </c>
      <c r="G24" s="22">
        <f t="shared" si="4"/>
        <v>55767.456000000006</v>
      </c>
      <c r="H24" s="22">
        <v>953030.09</v>
      </c>
      <c r="I24" s="22">
        <v>64629.33</v>
      </c>
      <c r="J24" s="28">
        <f t="shared" si="2"/>
        <v>1500836.66</v>
      </c>
      <c r="K24" s="62">
        <v>0</v>
      </c>
      <c r="L24" s="22">
        <v>27471.485518262714</v>
      </c>
      <c r="M24" s="22"/>
      <c r="N24" s="22"/>
      <c r="P24" s="22">
        <v>117831.35</v>
      </c>
      <c r="Q24" s="22">
        <v>13899.250191988889</v>
      </c>
      <c r="R24" s="63">
        <v>0</v>
      </c>
      <c r="S24" s="22"/>
      <c r="U24" s="22">
        <v>5793.1311791340013</v>
      </c>
      <c r="W24" s="26">
        <v>1461.8</v>
      </c>
      <c r="X24" s="26">
        <v>1442.8</v>
      </c>
      <c r="Y24" s="27">
        <v>28.611034100360413</v>
      </c>
      <c r="Z24" s="26">
        <v>241</v>
      </c>
      <c r="AA24" s="27">
        <v>54.771784232365142</v>
      </c>
      <c r="AB24" s="26">
        <v>11007</v>
      </c>
      <c r="AD24" s="19">
        <v>0</v>
      </c>
      <c r="AF24" s="19">
        <v>1207427.8900000001</v>
      </c>
      <c r="AG24" s="19"/>
      <c r="AH24" s="119">
        <v>1815278</v>
      </c>
      <c r="AJ24" s="85" t="s">
        <v>232</v>
      </c>
      <c r="AK24" s="32" t="e">
        <f>VLOOKUP($AK$2,'Diretrizes - Resumo'!$A$4:$AB$30,28,)</f>
        <v>#REF!</v>
      </c>
      <c r="AR24" s="25"/>
    </row>
    <row r="25" spans="1:44" ht="16.5" thickBot="1">
      <c r="A25" s="29" t="s">
        <v>224</v>
      </c>
      <c r="B25" s="22">
        <v>58052.096000000012</v>
      </c>
      <c r="C25" s="22">
        <v>10597.968000000001</v>
      </c>
      <c r="D25" s="22">
        <f t="shared" si="3"/>
        <v>68650.064000000013</v>
      </c>
      <c r="E25" s="22">
        <v>8061.8640000000014</v>
      </c>
      <c r="F25" s="22">
        <v>4434.5600000000004</v>
      </c>
      <c r="G25" s="22">
        <f t="shared" si="4"/>
        <v>12496.424000000003</v>
      </c>
      <c r="H25" s="22">
        <v>109875.1</v>
      </c>
      <c r="I25" s="22">
        <v>7640.86</v>
      </c>
      <c r="J25" s="28">
        <f t="shared" si="2"/>
        <v>198662.44800000003</v>
      </c>
      <c r="K25" s="62">
        <v>0</v>
      </c>
      <c r="L25" s="22">
        <v>3667.0231318440547</v>
      </c>
      <c r="M25" s="22">
        <v>17640</v>
      </c>
      <c r="N25" s="22">
        <v>1027072.3434838187</v>
      </c>
      <c r="P25" s="22">
        <v>15728.68</v>
      </c>
      <c r="Q25" s="22">
        <v>1935.0334838186973</v>
      </c>
      <c r="R25" s="63">
        <v>0</v>
      </c>
      <c r="S25" s="22"/>
      <c r="U25" s="22">
        <v>735.73557525000024</v>
      </c>
      <c r="W25" s="26">
        <v>250</v>
      </c>
      <c r="X25" s="26">
        <v>241</v>
      </c>
      <c r="Y25" s="27">
        <v>35.269709543568467</v>
      </c>
      <c r="Z25" s="26">
        <v>64</v>
      </c>
      <c r="AA25" s="27">
        <v>65.625</v>
      </c>
      <c r="AB25" s="26">
        <v>1269</v>
      </c>
      <c r="AD25" s="19">
        <v>0</v>
      </c>
      <c r="AF25" s="19">
        <v>245329.86999999997</v>
      </c>
      <c r="AG25" s="19"/>
      <c r="AH25" s="119">
        <v>652713</v>
      </c>
      <c r="AR25" s="25"/>
    </row>
    <row r="26" spans="1:44" ht="16.5" thickBot="1">
      <c r="A26" s="29" t="s">
        <v>223</v>
      </c>
      <c r="B26" s="22">
        <v>4734720.0959999999</v>
      </c>
      <c r="C26" s="22">
        <v>674682.09600000002</v>
      </c>
      <c r="D26" s="22">
        <f t="shared" si="3"/>
        <v>5409402.1919999998</v>
      </c>
      <c r="E26" s="22">
        <v>608680.91200000001</v>
      </c>
      <c r="F26" s="22">
        <v>201265.52800000002</v>
      </c>
      <c r="G26" s="22">
        <f t="shared" si="4"/>
        <v>809946.44000000006</v>
      </c>
      <c r="H26" s="22">
        <v>8176300.29</v>
      </c>
      <c r="I26" s="22">
        <v>575825.96</v>
      </c>
      <c r="J26" s="28">
        <f t="shared" si="2"/>
        <v>14971474.881999999</v>
      </c>
      <c r="K26" s="62">
        <v>0</v>
      </c>
      <c r="L26" s="22">
        <v>274444.30773230823</v>
      </c>
      <c r="M26" s="22"/>
      <c r="N26" s="22"/>
      <c r="P26" s="22">
        <v>1177153.08</v>
      </c>
      <c r="Q26" s="22">
        <v>140403.8422811334</v>
      </c>
      <c r="R26" s="63">
        <v>0</v>
      </c>
      <c r="S26" s="22"/>
      <c r="U26" s="22">
        <v>66194.068942066035</v>
      </c>
      <c r="W26" s="26">
        <v>18041</v>
      </c>
      <c r="X26" s="26">
        <v>16889</v>
      </c>
      <c r="Y26" s="27">
        <v>24.400497365148908</v>
      </c>
      <c r="Z26" s="26">
        <v>2927</v>
      </c>
      <c r="AA26" s="27">
        <v>44.994875298940897</v>
      </c>
      <c r="AB26" s="26">
        <v>94432</v>
      </c>
      <c r="AD26" s="19">
        <v>0</v>
      </c>
      <c r="AF26" s="19">
        <v>18607318.912999999</v>
      </c>
      <c r="AG26" s="19"/>
      <c r="AH26" s="119">
        <v>11466630</v>
      </c>
      <c r="AJ26" s="546" t="s">
        <v>302</v>
      </c>
      <c r="AK26" s="547"/>
      <c r="AR26" s="25"/>
    </row>
    <row r="27" spans="1:44" ht="16.5" thickBot="1">
      <c r="A27" s="29" t="s">
        <v>222</v>
      </c>
      <c r="B27" s="22">
        <v>3476552.3760000002</v>
      </c>
      <c r="C27" s="22">
        <v>455971.64800000004</v>
      </c>
      <c r="D27" s="22">
        <f t="shared" si="3"/>
        <v>3932524.0240000002</v>
      </c>
      <c r="E27" s="22">
        <v>386045.13599999994</v>
      </c>
      <c r="F27" s="22">
        <v>92983.784</v>
      </c>
      <c r="G27" s="22">
        <f t="shared" si="4"/>
        <v>479028.91999999993</v>
      </c>
      <c r="H27" s="22">
        <v>5290282.4000000004</v>
      </c>
      <c r="I27" s="22">
        <v>291055.06</v>
      </c>
      <c r="J27" s="28">
        <f t="shared" si="2"/>
        <v>9992890.4039999992</v>
      </c>
      <c r="K27" s="62">
        <v>0</v>
      </c>
      <c r="L27" s="22">
        <v>182436.80267111809</v>
      </c>
      <c r="M27" s="22"/>
      <c r="N27" s="22"/>
      <c r="P27" s="22">
        <v>782512.29</v>
      </c>
      <c r="Q27" s="22">
        <v>93809.697409305722</v>
      </c>
      <c r="R27" s="63">
        <v>0</v>
      </c>
      <c r="S27" s="22"/>
      <c r="U27" s="22">
        <v>41160.619951984001</v>
      </c>
      <c r="W27" s="26">
        <v>11914</v>
      </c>
      <c r="X27" s="26">
        <v>11626</v>
      </c>
      <c r="Y27" s="27">
        <v>21.546533631515558</v>
      </c>
      <c r="Z27" s="26">
        <v>1905</v>
      </c>
      <c r="AA27" s="27">
        <v>46.351706036745412</v>
      </c>
      <c r="AB27" s="26">
        <v>61100</v>
      </c>
      <c r="AD27" s="19">
        <v>0</v>
      </c>
      <c r="AF27" s="19">
        <v>8692538.4800000004</v>
      </c>
      <c r="AG27" s="19"/>
      <c r="AH27" s="119">
        <v>7338473</v>
      </c>
      <c r="AJ27" s="40" t="s">
        <v>303</v>
      </c>
      <c r="AK27" s="32" t="e">
        <f>VLOOKUP($AK$2,A4:AH30,34,)</f>
        <v>#REF!</v>
      </c>
      <c r="AR27" s="25"/>
    </row>
    <row r="28" spans="1:44" s="30" customFormat="1" ht="16.5" thickBot="1">
      <c r="A28" s="29" t="s">
        <v>221</v>
      </c>
      <c r="B28" s="22">
        <v>435012.92799999996</v>
      </c>
      <c r="C28" s="22">
        <v>67014.960000000006</v>
      </c>
      <c r="D28" s="22">
        <f t="shared" si="3"/>
        <v>502027.88799999998</v>
      </c>
      <c r="E28" s="22">
        <v>38758.576000000001</v>
      </c>
      <c r="F28" s="22">
        <v>12640.256000000001</v>
      </c>
      <c r="G28" s="22">
        <f t="shared" si="4"/>
        <v>51398.832000000002</v>
      </c>
      <c r="H28" s="22">
        <v>585134.67000000004</v>
      </c>
      <c r="I28" s="22">
        <v>49948.9</v>
      </c>
      <c r="J28" s="28">
        <f t="shared" si="2"/>
        <v>1188510.29</v>
      </c>
      <c r="K28" s="62">
        <v>0</v>
      </c>
      <c r="L28" s="22">
        <v>21682.328047667306</v>
      </c>
      <c r="M28" s="22">
        <v>14440</v>
      </c>
      <c r="N28" s="22">
        <v>172875.39347385807</v>
      </c>
      <c r="O28" s="20"/>
      <c r="P28" s="22">
        <v>93000.36</v>
      </c>
      <c r="Q28" s="22">
        <v>11151.627473858112</v>
      </c>
      <c r="R28" s="63">
        <v>0</v>
      </c>
      <c r="S28" s="22">
        <v>8095.1841845333583</v>
      </c>
      <c r="T28" s="19"/>
      <c r="U28" s="22">
        <v>4426.7815768279997</v>
      </c>
      <c r="V28" s="19"/>
      <c r="W28" s="26">
        <v>1633</v>
      </c>
      <c r="X28" s="26">
        <v>1599</v>
      </c>
      <c r="Y28" s="27">
        <v>28.642901813633529</v>
      </c>
      <c r="Z28" s="26">
        <v>172</v>
      </c>
      <c r="AA28" s="27">
        <v>40.697674418604649</v>
      </c>
      <c r="AB28" s="26">
        <v>6758</v>
      </c>
      <c r="AC28" s="1"/>
      <c r="AD28" s="19">
        <v>0</v>
      </c>
      <c r="AE28" s="1"/>
      <c r="AF28" s="19">
        <v>778556.55</v>
      </c>
      <c r="AG28" s="19"/>
      <c r="AH28" s="119">
        <v>2338474</v>
      </c>
      <c r="AM28" s="3"/>
      <c r="AR28" s="25"/>
    </row>
    <row r="29" spans="1:44" ht="16.5" thickBot="1">
      <c r="A29" s="29" t="s">
        <v>220</v>
      </c>
      <c r="B29" s="22">
        <v>17642934.056000002</v>
      </c>
      <c r="C29" s="22">
        <v>3147567.4000000004</v>
      </c>
      <c r="D29" s="22">
        <f t="shared" si="3"/>
        <v>20790501.456</v>
      </c>
      <c r="E29" s="22">
        <v>1729808.0079999999</v>
      </c>
      <c r="F29" s="22">
        <v>422009.97600000002</v>
      </c>
      <c r="G29" s="22">
        <f t="shared" si="4"/>
        <v>2151817.9840000002</v>
      </c>
      <c r="H29" s="22">
        <v>30198334.600000001</v>
      </c>
      <c r="I29" s="22">
        <v>1700500.93</v>
      </c>
      <c r="J29" s="28">
        <f t="shared" si="2"/>
        <v>54841154.969999999</v>
      </c>
      <c r="K29" s="62">
        <v>0</v>
      </c>
      <c r="L29" s="22">
        <v>997466.6695633902</v>
      </c>
      <c r="M29" s="22"/>
      <c r="N29" s="22"/>
      <c r="P29" s="22">
        <v>4278357.87</v>
      </c>
      <c r="Q29" s="22">
        <v>535085.82804265618</v>
      </c>
      <c r="R29" s="63">
        <v>0</v>
      </c>
      <c r="S29" s="22"/>
      <c r="U29" s="22">
        <v>194251.69917792606</v>
      </c>
      <c r="W29" s="26">
        <v>67388</v>
      </c>
      <c r="X29" s="26">
        <v>63009</v>
      </c>
      <c r="Y29" s="27">
        <v>25.999460394546816</v>
      </c>
      <c r="Z29" s="26">
        <v>8228</v>
      </c>
      <c r="AA29" s="27">
        <v>44.385026737967912</v>
      </c>
      <c r="AB29" s="26">
        <v>348775</v>
      </c>
      <c r="AD29" s="19">
        <v>0</v>
      </c>
      <c r="AF29" s="19">
        <v>38768808.050000004</v>
      </c>
      <c r="AG29" s="19"/>
      <c r="AH29" s="119">
        <v>46649132</v>
      </c>
      <c r="AR29" s="25"/>
    </row>
    <row r="30" spans="1:44" ht="16.5" thickBot="1">
      <c r="A30" s="29" t="s">
        <v>219</v>
      </c>
      <c r="B30" s="22">
        <v>233109.96000000008</v>
      </c>
      <c r="C30" s="22">
        <v>33368.248</v>
      </c>
      <c r="D30" s="22">
        <f t="shared" si="3"/>
        <v>266478.2080000001</v>
      </c>
      <c r="E30" s="22">
        <v>29739.488000000001</v>
      </c>
      <c r="F30" s="22">
        <v>15518.023999999999</v>
      </c>
      <c r="G30" s="22">
        <f t="shared" si="4"/>
        <v>45257.512000000002</v>
      </c>
      <c r="H30" s="22">
        <v>478376.6</v>
      </c>
      <c r="I30" s="22">
        <v>44505.71</v>
      </c>
      <c r="J30" s="28">
        <f t="shared" si="2"/>
        <v>834618.03000000014</v>
      </c>
      <c r="K30" s="62">
        <v>0</v>
      </c>
      <c r="L30" s="22">
        <v>15389.346166549039</v>
      </c>
      <c r="M30" s="22">
        <v>12440</v>
      </c>
      <c r="N30" s="22">
        <v>435878.42532100301</v>
      </c>
      <c r="P30" s="22">
        <v>66008.350000000006</v>
      </c>
      <c r="Q30" s="22">
        <v>8007.9933210030576</v>
      </c>
      <c r="R30" s="63">
        <v>0</v>
      </c>
      <c r="S30" s="22">
        <v>5193.9456658119079</v>
      </c>
      <c r="U30" s="22">
        <v>3341.2706063620008</v>
      </c>
      <c r="W30" s="26">
        <v>873</v>
      </c>
      <c r="X30" s="26">
        <v>854</v>
      </c>
      <c r="Y30" s="27">
        <v>27.868852459016395</v>
      </c>
      <c r="Z30" s="26">
        <v>213</v>
      </c>
      <c r="AA30" s="27">
        <v>63.380281690140841</v>
      </c>
      <c r="AB30" s="26">
        <v>5525</v>
      </c>
      <c r="AD30" s="19">
        <v>0</v>
      </c>
      <c r="AF30" s="19">
        <v>863875.25</v>
      </c>
      <c r="AG30" s="19"/>
      <c r="AH30" s="119">
        <v>1607363</v>
      </c>
      <c r="AR30" s="25"/>
    </row>
    <row r="31" spans="1:44">
      <c r="P31" s="24"/>
      <c r="Q31" s="24"/>
    </row>
    <row r="32" spans="1:44">
      <c r="A32" s="23" t="s">
        <v>300</v>
      </c>
      <c r="B32" s="26">
        <v>2</v>
      </c>
      <c r="C32" s="26">
        <f>B32+1</f>
        <v>3</v>
      </c>
      <c r="D32" s="26">
        <f t="shared" ref="D32:AH32" si="5">C32+1</f>
        <v>4</v>
      </c>
      <c r="E32" s="26">
        <f t="shared" si="5"/>
        <v>5</v>
      </c>
      <c r="F32" s="26">
        <f t="shared" si="5"/>
        <v>6</v>
      </c>
      <c r="G32" s="26">
        <f t="shared" si="5"/>
        <v>7</v>
      </c>
      <c r="H32" s="26">
        <f t="shared" si="5"/>
        <v>8</v>
      </c>
      <c r="I32" s="26">
        <f t="shared" si="5"/>
        <v>9</v>
      </c>
      <c r="J32" s="26">
        <f t="shared" si="5"/>
        <v>10</v>
      </c>
      <c r="K32" s="26">
        <f t="shared" si="5"/>
        <v>11</v>
      </c>
      <c r="L32" s="26">
        <f t="shared" si="5"/>
        <v>12</v>
      </c>
      <c r="M32" s="26">
        <f t="shared" si="5"/>
        <v>13</v>
      </c>
      <c r="N32" s="26">
        <f t="shared" si="5"/>
        <v>14</v>
      </c>
      <c r="O32" s="26">
        <f t="shared" si="5"/>
        <v>15</v>
      </c>
      <c r="P32" s="26">
        <f t="shared" si="5"/>
        <v>16</v>
      </c>
      <c r="Q32" s="26">
        <f t="shared" si="5"/>
        <v>17</v>
      </c>
      <c r="R32" s="26">
        <f t="shared" si="5"/>
        <v>18</v>
      </c>
      <c r="S32" s="26">
        <f t="shared" si="5"/>
        <v>19</v>
      </c>
      <c r="T32" s="26">
        <f t="shared" si="5"/>
        <v>20</v>
      </c>
      <c r="U32" s="26">
        <f t="shared" si="5"/>
        <v>21</v>
      </c>
      <c r="V32" s="26">
        <f t="shared" si="5"/>
        <v>22</v>
      </c>
      <c r="W32" s="26">
        <f t="shared" si="5"/>
        <v>23</v>
      </c>
      <c r="X32" s="26">
        <f t="shared" si="5"/>
        <v>24</v>
      </c>
      <c r="Y32" s="26">
        <f t="shared" si="5"/>
        <v>25</v>
      </c>
      <c r="Z32" s="26">
        <f t="shared" si="5"/>
        <v>26</v>
      </c>
      <c r="AA32" s="26">
        <f t="shared" si="5"/>
        <v>27</v>
      </c>
      <c r="AB32" s="26">
        <f t="shared" si="5"/>
        <v>28</v>
      </c>
      <c r="AC32" s="26">
        <f t="shared" si="5"/>
        <v>29</v>
      </c>
      <c r="AD32" s="26">
        <f t="shared" si="5"/>
        <v>30</v>
      </c>
      <c r="AE32" s="26">
        <f t="shared" si="5"/>
        <v>31</v>
      </c>
      <c r="AF32" s="26">
        <f t="shared" si="5"/>
        <v>32</v>
      </c>
      <c r="AG32" s="26">
        <f t="shared" si="5"/>
        <v>33</v>
      </c>
      <c r="AH32" s="26">
        <f t="shared" si="5"/>
        <v>34</v>
      </c>
    </row>
    <row r="33" spans="16:17" hidden="1">
      <c r="P33" s="87"/>
      <c r="Q33" s="87"/>
    </row>
    <row r="34" spans="16:17" hidden="1">
      <c r="P34" s="87"/>
      <c r="Q34" s="87"/>
    </row>
    <row r="35" spans="16:17" hidden="1">
      <c r="P35" s="87"/>
      <c r="Q35" s="87"/>
    </row>
    <row r="36" spans="16:17" hidden="1">
      <c r="P36" s="87"/>
      <c r="Q36" s="87"/>
    </row>
  </sheetData>
  <mergeCells count="20"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  <mergeCell ref="AM2:AN2"/>
    <mergeCell ref="AJ18:AK18"/>
    <mergeCell ref="A1:A3"/>
    <mergeCell ref="B1:J1"/>
    <mergeCell ref="E2:G2"/>
    <mergeCell ref="B2:D2"/>
    <mergeCell ref="I2:I3"/>
    <mergeCell ref="AH2:AH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95"/>
  <sheetViews>
    <sheetView showGridLines="0" topLeftCell="A13" workbookViewId="0">
      <selection activeCell="S29" sqref="S29"/>
    </sheetView>
  </sheetViews>
  <sheetFormatPr defaultRowHeight="15"/>
  <cols>
    <col min="1" max="1" width="25" style="287" customWidth="1"/>
    <col min="2" max="2" width="4.42578125" style="287" customWidth="1"/>
    <col min="3" max="3" width="11.28515625" style="287" customWidth="1"/>
    <col min="4" max="4" width="0.28515625" style="287" customWidth="1"/>
    <col min="5" max="5" width="16.7109375" style="287" customWidth="1"/>
    <col min="6" max="6" width="0.5703125" style="287" customWidth="1"/>
    <col min="7" max="7" width="15.28515625" style="287" customWidth="1"/>
    <col min="8" max="8" width="0.140625" style="287" customWidth="1"/>
    <col min="9" max="9" width="0.28515625" style="287" customWidth="1"/>
    <col min="10" max="10" width="2.7109375" style="287" customWidth="1"/>
    <col min="11" max="11" width="0.140625" style="287" customWidth="1"/>
    <col min="12" max="12" width="12.5703125" style="287" customWidth="1"/>
    <col min="13" max="13" width="0.28515625" style="287" customWidth="1"/>
    <col min="14" max="14" width="17.5703125" style="287" customWidth="1"/>
    <col min="15" max="16384" width="9.140625" style="287"/>
  </cols>
  <sheetData>
    <row r="1" spans="1:14" ht="33" customHeight="1"/>
    <row r="2" spans="1:14" ht="23.25" customHeight="1">
      <c r="A2" s="496" t="s">
        <v>585</v>
      </c>
      <c r="B2" s="496"/>
      <c r="C2" s="496"/>
      <c r="D2" s="496"/>
      <c r="E2" s="496"/>
      <c r="F2" s="496"/>
      <c r="G2" s="496"/>
      <c r="H2" s="496"/>
    </row>
    <row r="3" spans="1:14" ht="15.75" customHeight="1">
      <c r="A3" s="498" t="s">
        <v>586</v>
      </c>
      <c r="B3" s="498"/>
      <c r="C3" s="498"/>
      <c r="D3" s="498"/>
      <c r="E3" s="498"/>
      <c r="F3" s="498"/>
      <c r="G3" s="498"/>
      <c r="H3" s="498"/>
    </row>
    <row r="4" spans="1:14" ht="12" customHeight="1">
      <c r="A4" s="498" t="s">
        <v>587</v>
      </c>
      <c r="B4" s="498"/>
      <c r="C4" s="498"/>
    </row>
    <row r="5" spans="1:14" ht="4.5" customHeight="1">
      <c r="A5" s="498"/>
      <c r="B5" s="498"/>
      <c r="C5" s="498"/>
    </row>
    <row r="6" spans="1:14" ht="6" customHeigh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</row>
    <row r="7" spans="1:14" ht="14.25" customHeight="1">
      <c r="I7" s="497" t="s">
        <v>588</v>
      </c>
      <c r="J7" s="497"/>
      <c r="K7" s="497"/>
      <c r="L7" s="497"/>
      <c r="M7" s="497"/>
      <c r="N7" s="497"/>
    </row>
    <row r="8" spans="1:14" ht="22.5" customHeight="1">
      <c r="A8" s="500" t="s">
        <v>732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</row>
    <row r="9" spans="1:14" ht="2.25" customHeight="1"/>
    <row r="10" spans="1:14" ht="18" customHeight="1">
      <c r="A10" s="494" t="s">
        <v>733</v>
      </c>
      <c r="B10" s="494"/>
      <c r="C10" s="494"/>
      <c r="D10" s="495" t="s">
        <v>596</v>
      </c>
      <c r="E10" s="495"/>
      <c r="F10" s="495" t="s">
        <v>734</v>
      </c>
      <c r="G10" s="495"/>
      <c r="H10" s="495" t="s">
        <v>735</v>
      </c>
      <c r="I10" s="495"/>
      <c r="J10" s="495"/>
      <c r="K10" s="495"/>
      <c r="L10" s="495"/>
      <c r="M10" s="495" t="s">
        <v>630</v>
      </c>
      <c r="N10" s="495"/>
    </row>
    <row r="11" spans="1:14" ht="21.75" customHeight="1">
      <c r="A11" s="496" t="s">
        <v>585</v>
      </c>
      <c r="B11" s="496"/>
      <c r="C11" s="496"/>
      <c r="I11" s="497" t="s">
        <v>588</v>
      </c>
      <c r="J11" s="497"/>
      <c r="K11" s="497"/>
      <c r="L11" s="497"/>
      <c r="M11" s="497"/>
      <c r="N11" s="497"/>
    </row>
    <row r="12" spans="1:14" ht="1.5" customHeight="1">
      <c r="A12" s="496"/>
      <c r="B12" s="496"/>
      <c r="C12" s="496"/>
    </row>
    <row r="13" spans="1:14" ht="3.75" customHeight="1"/>
    <row r="14" spans="1:14" ht="5.25" customHeight="1">
      <c r="A14" s="493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</row>
    <row r="15" spans="1:14" ht="18" customHeight="1">
      <c r="A15" s="494" t="s">
        <v>733</v>
      </c>
      <c r="B15" s="494"/>
      <c r="C15" s="494"/>
      <c r="D15" s="495" t="s">
        <v>596</v>
      </c>
      <c r="E15" s="495"/>
      <c r="F15" s="495" t="s">
        <v>734</v>
      </c>
      <c r="G15" s="495"/>
      <c r="H15" s="495" t="s">
        <v>735</v>
      </c>
      <c r="I15" s="495"/>
      <c r="J15" s="495"/>
      <c r="K15" s="495"/>
      <c r="L15" s="495"/>
      <c r="M15" s="495" t="s">
        <v>630</v>
      </c>
      <c r="N15" s="495"/>
    </row>
    <row r="16" spans="1:14" ht="18" customHeight="1">
      <c r="A16" s="492" t="s">
        <v>736</v>
      </c>
      <c r="B16" s="492"/>
      <c r="C16" s="492"/>
      <c r="D16" s="492"/>
      <c r="E16" s="484">
        <v>3997383.92</v>
      </c>
      <c r="F16" s="484"/>
      <c r="G16" s="484">
        <v>3644553.49</v>
      </c>
      <c r="H16" s="484"/>
      <c r="I16" s="484"/>
      <c r="J16" s="484">
        <v>3644553.49</v>
      </c>
      <c r="K16" s="484"/>
      <c r="L16" s="484"/>
      <c r="M16" s="484"/>
      <c r="N16" s="284">
        <v>352830.43</v>
      </c>
    </row>
    <row r="17" spans="1:14" ht="18" customHeight="1">
      <c r="A17" s="565" t="s">
        <v>524</v>
      </c>
      <c r="B17" s="565"/>
      <c r="C17" s="565"/>
      <c r="D17" s="565"/>
      <c r="E17" s="484">
        <v>3667145.36</v>
      </c>
      <c r="F17" s="484"/>
      <c r="G17" s="484">
        <v>3529795.41</v>
      </c>
      <c r="H17" s="484"/>
      <c r="I17" s="484"/>
      <c r="J17" s="484">
        <v>3529795.41</v>
      </c>
      <c r="K17" s="484"/>
      <c r="L17" s="484"/>
      <c r="M17" s="484"/>
      <c r="N17" s="284">
        <v>137349.95000000001</v>
      </c>
    </row>
    <row r="18" spans="1:14" ht="18" customHeight="1">
      <c r="A18" s="566" t="s">
        <v>523</v>
      </c>
      <c r="B18" s="566"/>
      <c r="C18" s="566"/>
      <c r="D18" s="566"/>
      <c r="E18" s="484">
        <v>2097401.77</v>
      </c>
      <c r="F18" s="484"/>
      <c r="G18" s="484">
        <v>2089706.04</v>
      </c>
      <c r="H18" s="484"/>
      <c r="I18" s="484"/>
      <c r="J18" s="484">
        <v>2089706.04</v>
      </c>
      <c r="K18" s="484"/>
      <c r="L18" s="484"/>
      <c r="M18" s="484"/>
      <c r="N18" s="284">
        <v>7695.73</v>
      </c>
    </row>
    <row r="19" spans="1:14" ht="18" customHeight="1">
      <c r="A19" s="567" t="s">
        <v>522</v>
      </c>
      <c r="B19" s="567"/>
      <c r="C19" s="567"/>
      <c r="D19" s="567"/>
      <c r="E19" s="484">
        <v>2097401.77</v>
      </c>
      <c r="F19" s="484"/>
      <c r="G19" s="484">
        <v>2089706.04</v>
      </c>
      <c r="H19" s="484"/>
      <c r="I19" s="484"/>
      <c r="J19" s="484">
        <v>2089706.04</v>
      </c>
      <c r="K19" s="484"/>
      <c r="L19" s="484"/>
      <c r="M19" s="484"/>
      <c r="N19" s="284">
        <v>7695.73</v>
      </c>
    </row>
    <row r="20" spans="1:14" ht="18" customHeight="1">
      <c r="A20" s="570" t="s">
        <v>521</v>
      </c>
      <c r="B20" s="570"/>
      <c r="C20" s="570"/>
      <c r="D20" s="570"/>
      <c r="E20" s="484">
        <v>1412760.89</v>
      </c>
      <c r="F20" s="484"/>
      <c r="G20" s="484">
        <v>1411230.14</v>
      </c>
      <c r="H20" s="484"/>
      <c r="I20" s="484"/>
      <c r="J20" s="484">
        <v>1411230.14</v>
      </c>
      <c r="K20" s="484"/>
      <c r="L20" s="484"/>
      <c r="M20" s="484"/>
      <c r="N20" s="284">
        <v>1530.75</v>
      </c>
    </row>
    <row r="21" spans="1:14" ht="18" customHeight="1">
      <c r="A21" s="569" t="s">
        <v>520</v>
      </c>
      <c r="B21" s="569"/>
      <c r="C21" s="569"/>
      <c r="D21" s="569"/>
      <c r="E21" s="486">
        <v>1189275.49</v>
      </c>
      <c r="F21" s="486"/>
      <c r="G21" s="486">
        <v>1187744.77</v>
      </c>
      <c r="H21" s="486"/>
      <c r="I21" s="486"/>
      <c r="J21" s="486">
        <v>1187744.77</v>
      </c>
      <c r="K21" s="486"/>
      <c r="L21" s="486"/>
      <c r="M21" s="486"/>
      <c r="N21" s="286">
        <v>1530.72</v>
      </c>
    </row>
    <row r="22" spans="1:14" ht="18" customHeight="1">
      <c r="A22" s="569" t="s">
        <v>519</v>
      </c>
      <c r="B22" s="569"/>
      <c r="C22" s="569"/>
      <c r="D22" s="569"/>
      <c r="E22" s="486">
        <v>0</v>
      </c>
      <c r="F22" s="486"/>
      <c r="G22" s="486">
        <v>0</v>
      </c>
      <c r="H22" s="486"/>
      <c r="I22" s="486"/>
      <c r="J22" s="486">
        <v>0</v>
      </c>
      <c r="K22" s="486"/>
      <c r="L22" s="486"/>
      <c r="M22" s="486"/>
      <c r="N22" s="286">
        <v>0</v>
      </c>
    </row>
    <row r="23" spans="1:14" ht="18" customHeight="1">
      <c r="A23" s="569" t="s">
        <v>518</v>
      </c>
      <c r="B23" s="569"/>
      <c r="C23" s="569"/>
      <c r="D23" s="569"/>
      <c r="E23" s="486">
        <v>108674.12</v>
      </c>
      <c r="F23" s="486"/>
      <c r="G23" s="486">
        <v>108674.09</v>
      </c>
      <c r="H23" s="486"/>
      <c r="I23" s="486"/>
      <c r="J23" s="486">
        <v>108674.09</v>
      </c>
      <c r="K23" s="486"/>
      <c r="L23" s="486"/>
      <c r="M23" s="486"/>
      <c r="N23" s="286">
        <v>0.03</v>
      </c>
    </row>
    <row r="24" spans="1:14" ht="18" customHeight="1">
      <c r="A24" s="569" t="s">
        <v>517</v>
      </c>
      <c r="B24" s="569"/>
      <c r="C24" s="569"/>
      <c r="D24" s="569"/>
      <c r="E24" s="486">
        <v>76347.45</v>
      </c>
      <c r="F24" s="486"/>
      <c r="G24" s="486">
        <v>76347.45</v>
      </c>
      <c r="H24" s="486"/>
      <c r="I24" s="486"/>
      <c r="J24" s="486">
        <v>76347.45</v>
      </c>
      <c r="K24" s="486"/>
      <c r="L24" s="486"/>
      <c r="M24" s="486"/>
      <c r="N24" s="286">
        <v>0</v>
      </c>
    </row>
    <row r="25" spans="1:14" ht="18" customHeight="1">
      <c r="A25" s="569" t="s">
        <v>516</v>
      </c>
      <c r="B25" s="569"/>
      <c r="C25" s="569"/>
      <c r="D25" s="569"/>
      <c r="E25" s="486">
        <v>25449.16</v>
      </c>
      <c r="F25" s="486"/>
      <c r="G25" s="486">
        <v>25449.16</v>
      </c>
      <c r="H25" s="486"/>
      <c r="I25" s="486"/>
      <c r="J25" s="486">
        <v>25449.16</v>
      </c>
      <c r="K25" s="486"/>
      <c r="L25" s="486"/>
      <c r="M25" s="486"/>
      <c r="N25" s="286">
        <v>0</v>
      </c>
    </row>
    <row r="26" spans="1:14" ht="18" customHeight="1">
      <c r="A26" s="569" t="s">
        <v>515</v>
      </c>
      <c r="B26" s="569"/>
      <c r="C26" s="569"/>
      <c r="D26" s="569"/>
      <c r="E26" s="486">
        <v>13014.67</v>
      </c>
      <c r="F26" s="486"/>
      <c r="G26" s="486">
        <v>13014.67</v>
      </c>
      <c r="H26" s="486"/>
      <c r="I26" s="486"/>
      <c r="J26" s="486">
        <v>13014.67</v>
      </c>
      <c r="K26" s="486"/>
      <c r="L26" s="486"/>
      <c r="M26" s="486"/>
      <c r="N26" s="286">
        <v>0</v>
      </c>
    </row>
    <row r="27" spans="1:14" ht="18" customHeight="1">
      <c r="A27" s="569" t="s">
        <v>737</v>
      </c>
      <c r="B27" s="569"/>
      <c r="C27" s="569"/>
      <c r="D27" s="569"/>
      <c r="E27" s="486">
        <v>0</v>
      </c>
      <c r="F27" s="486"/>
      <c r="G27" s="486">
        <v>0</v>
      </c>
      <c r="H27" s="486"/>
      <c r="I27" s="486"/>
      <c r="J27" s="486">
        <v>0</v>
      </c>
      <c r="K27" s="486"/>
      <c r="L27" s="486"/>
      <c r="M27" s="486"/>
      <c r="N27" s="286">
        <v>0</v>
      </c>
    </row>
    <row r="28" spans="1:14" ht="18" customHeight="1">
      <c r="A28" s="569" t="s">
        <v>738</v>
      </c>
      <c r="B28" s="569"/>
      <c r="C28" s="569"/>
      <c r="D28" s="569"/>
      <c r="E28" s="486">
        <v>0</v>
      </c>
      <c r="F28" s="486"/>
      <c r="G28" s="486">
        <v>0</v>
      </c>
      <c r="H28" s="486"/>
      <c r="I28" s="486"/>
      <c r="J28" s="486">
        <v>0</v>
      </c>
      <c r="K28" s="486"/>
      <c r="L28" s="486"/>
      <c r="M28" s="486"/>
      <c r="N28" s="286">
        <v>0</v>
      </c>
    </row>
    <row r="29" spans="1:14" ht="18" customHeight="1">
      <c r="A29" s="569" t="s">
        <v>739</v>
      </c>
      <c r="B29" s="569"/>
      <c r="C29" s="569"/>
      <c r="D29" s="569"/>
      <c r="E29" s="486">
        <v>0</v>
      </c>
      <c r="F29" s="486"/>
      <c r="G29" s="486">
        <v>0</v>
      </c>
      <c r="H29" s="486"/>
      <c r="I29" s="486"/>
      <c r="J29" s="486">
        <v>0</v>
      </c>
      <c r="K29" s="486"/>
      <c r="L29" s="486"/>
      <c r="M29" s="486"/>
      <c r="N29" s="286">
        <v>0</v>
      </c>
    </row>
    <row r="30" spans="1:14" ht="18" customHeight="1">
      <c r="A30" s="570" t="s">
        <v>514</v>
      </c>
      <c r="B30" s="570"/>
      <c r="C30" s="570"/>
      <c r="D30" s="570"/>
      <c r="E30" s="484">
        <v>437886.45</v>
      </c>
      <c r="F30" s="484"/>
      <c r="G30" s="484">
        <v>433304.07</v>
      </c>
      <c r="H30" s="484"/>
      <c r="I30" s="484"/>
      <c r="J30" s="484">
        <v>433304.07</v>
      </c>
      <c r="K30" s="484"/>
      <c r="L30" s="484"/>
      <c r="M30" s="484"/>
      <c r="N30" s="284">
        <v>4582.38</v>
      </c>
    </row>
    <row r="31" spans="1:14" ht="18" customHeight="1">
      <c r="A31" s="569" t="s">
        <v>513</v>
      </c>
      <c r="B31" s="569"/>
      <c r="C31" s="569"/>
      <c r="D31" s="569"/>
      <c r="E31" s="486">
        <v>308674.05</v>
      </c>
      <c r="F31" s="486"/>
      <c r="G31" s="486">
        <v>305361.88</v>
      </c>
      <c r="H31" s="486"/>
      <c r="I31" s="486"/>
      <c r="J31" s="486">
        <v>305361.88</v>
      </c>
      <c r="K31" s="486"/>
      <c r="L31" s="486"/>
      <c r="M31" s="486"/>
      <c r="N31" s="286">
        <v>3312.17</v>
      </c>
    </row>
    <row r="32" spans="1:14" ht="18" customHeight="1">
      <c r="A32" s="569" t="s">
        <v>512</v>
      </c>
      <c r="B32" s="569"/>
      <c r="C32" s="569"/>
      <c r="D32" s="569"/>
      <c r="E32" s="486">
        <v>114855.46</v>
      </c>
      <c r="F32" s="486"/>
      <c r="G32" s="486">
        <v>113770.95</v>
      </c>
      <c r="H32" s="486"/>
      <c r="I32" s="486"/>
      <c r="J32" s="486">
        <v>113770.95</v>
      </c>
      <c r="K32" s="486"/>
      <c r="L32" s="486"/>
      <c r="M32" s="486"/>
      <c r="N32" s="286">
        <v>1084.51</v>
      </c>
    </row>
    <row r="33" spans="1:14" ht="18" customHeight="1">
      <c r="A33" s="569" t="s">
        <v>511</v>
      </c>
      <c r="B33" s="569"/>
      <c r="C33" s="569"/>
      <c r="D33" s="569"/>
      <c r="E33" s="486">
        <v>14356.94</v>
      </c>
      <c r="F33" s="486"/>
      <c r="G33" s="486">
        <v>14171.24</v>
      </c>
      <c r="H33" s="486"/>
      <c r="I33" s="486"/>
      <c r="J33" s="486">
        <v>14171.24</v>
      </c>
      <c r="K33" s="486"/>
      <c r="L33" s="486"/>
      <c r="M33" s="486"/>
      <c r="N33" s="286">
        <v>185.7</v>
      </c>
    </row>
    <row r="34" spans="1:14" ht="18" customHeight="1">
      <c r="A34" s="570" t="s">
        <v>510</v>
      </c>
      <c r="B34" s="570"/>
      <c r="C34" s="570"/>
      <c r="D34" s="570"/>
      <c r="E34" s="484">
        <v>246754.43</v>
      </c>
      <c r="F34" s="484"/>
      <c r="G34" s="484">
        <v>245171.83</v>
      </c>
      <c r="H34" s="484"/>
      <c r="I34" s="484"/>
      <c r="J34" s="484">
        <v>245171.83</v>
      </c>
      <c r="K34" s="484"/>
      <c r="L34" s="484"/>
      <c r="M34" s="484"/>
      <c r="N34" s="284">
        <v>1582.6</v>
      </c>
    </row>
    <row r="35" spans="1:14" ht="18" customHeight="1">
      <c r="A35" s="569" t="s">
        <v>509</v>
      </c>
      <c r="B35" s="569"/>
      <c r="C35" s="569"/>
      <c r="D35" s="569"/>
      <c r="E35" s="486">
        <v>1752</v>
      </c>
      <c r="F35" s="486"/>
      <c r="G35" s="486">
        <v>169.4</v>
      </c>
      <c r="H35" s="486"/>
      <c r="I35" s="486"/>
      <c r="J35" s="486">
        <v>169.4</v>
      </c>
      <c r="K35" s="486"/>
      <c r="L35" s="486"/>
      <c r="M35" s="486"/>
      <c r="N35" s="286">
        <v>1582.6</v>
      </c>
    </row>
    <row r="36" spans="1:14" ht="22.5" customHeight="1">
      <c r="A36" s="569" t="s">
        <v>508</v>
      </c>
      <c r="B36" s="569"/>
      <c r="C36" s="569"/>
      <c r="D36" s="569"/>
      <c r="E36" s="486">
        <v>242861.77</v>
      </c>
      <c r="F36" s="486"/>
      <c r="G36" s="486">
        <v>242861.77</v>
      </c>
      <c r="H36" s="486"/>
      <c r="I36" s="486"/>
      <c r="J36" s="486">
        <v>242861.77</v>
      </c>
      <c r="K36" s="486"/>
      <c r="L36" s="486"/>
      <c r="M36" s="486"/>
      <c r="N36" s="286">
        <v>0</v>
      </c>
    </row>
    <row r="37" spans="1:14" ht="18" customHeight="1">
      <c r="A37" s="569" t="s">
        <v>740</v>
      </c>
      <c r="B37" s="569"/>
      <c r="C37" s="569"/>
      <c r="D37" s="569"/>
      <c r="E37" s="486">
        <v>0</v>
      </c>
      <c r="F37" s="486"/>
      <c r="G37" s="486">
        <v>0</v>
      </c>
      <c r="H37" s="486"/>
      <c r="I37" s="486"/>
      <c r="J37" s="486">
        <v>0</v>
      </c>
      <c r="K37" s="486"/>
      <c r="L37" s="486"/>
      <c r="M37" s="486"/>
      <c r="N37" s="286">
        <v>0</v>
      </c>
    </row>
    <row r="38" spans="1:14" ht="18" customHeight="1">
      <c r="A38" s="569" t="s">
        <v>507</v>
      </c>
      <c r="B38" s="569"/>
      <c r="C38" s="569"/>
      <c r="D38" s="569"/>
      <c r="E38" s="486">
        <v>2140.66</v>
      </c>
      <c r="F38" s="486"/>
      <c r="G38" s="486">
        <v>2140.66</v>
      </c>
      <c r="H38" s="486"/>
      <c r="I38" s="486"/>
      <c r="J38" s="486">
        <v>2140.66</v>
      </c>
      <c r="K38" s="486"/>
      <c r="L38" s="486"/>
      <c r="M38" s="486"/>
      <c r="N38" s="286">
        <v>0</v>
      </c>
    </row>
    <row r="39" spans="1:14" ht="18" customHeight="1">
      <c r="A39" s="567" t="s">
        <v>496</v>
      </c>
      <c r="B39" s="567"/>
      <c r="C39" s="567"/>
      <c r="D39" s="567"/>
      <c r="E39" s="484">
        <v>0</v>
      </c>
      <c r="F39" s="484"/>
      <c r="G39" s="484">
        <v>0</v>
      </c>
      <c r="H39" s="484"/>
      <c r="I39" s="484"/>
      <c r="J39" s="484">
        <v>0</v>
      </c>
      <c r="K39" s="484"/>
      <c r="L39" s="484"/>
      <c r="M39" s="484"/>
      <c r="N39" s="284">
        <v>0</v>
      </c>
    </row>
    <row r="40" spans="1:14" ht="18" customHeight="1">
      <c r="A40" s="564" t="s">
        <v>741</v>
      </c>
      <c r="B40" s="564"/>
      <c r="C40" s="564"/>
      <c r="D40" s="564"/>
      <c r="E40" s="486">
        <v>0</v>
      </c>
      <c r="F40" s="486"/>
      <c r="G40" s="486">
        <v>0</v>
      </c>
      <c r="H40" s="486"/>
      <c r="I40" s="486"/>
      <c r="J40" s="486">
        <v>0</v>
      </c>
      <c r="K40" s="486"/>
      <c r="L40" s="486"/>
      <c r="M40" s="486"/>
      <c r="N40" s="286">
        <v>0</v>
      </c>
    </row>
    <row r="41" spans="1:14" ht="18" customHeight="1">
      <c r="A41" s="566" t="s">
        <v>506</v>
      </c>
      <c r="B41" s="566"/>
      <c r="C41" s="566"/>
      <c r="D41" s="566"/>
      <c r="E41" s="484">
        <v>55915.08</v>
      </c>
      <c r="F41" s="484"/>
      <c r="G41" s="484">
        <v>31528.65</v>
      </c>
      <c r="H41" s="484"/>
      <c r="I41" s="484"/>
      <c r="J41" s="484">
        <v>31528.65</v>
      </c>
      <c r="K41" s="484"/>
      <c r="L41" s="484"/>
      <c r="M41" s="484"/>
      <c r="N41" s="284">
        <v>24386.43</v>
      </c>
    </row>
    <row r="42" spans="1:14" ht="18" customHeight="1">
      <c r="A42" s="567" t="s">
        <v>506</v>
      </c>
      <c r="B42" s="567"/>
      <c r="C42" s="567"/>
      <c r="D42" s="567"/>
      <c r="E42" s="484">
        <v>55915.08</v>
      </c>
      <c r="F42" s="484"/>
      <c r="G42" s="484">
        <v>31528.65</v>
      </c>
      <c r="H42" s="484"/>
      <c r="I42" s="484"/>
      <c r="J42" s="484">
        <v>31528.65</v>
      </c>
      <c r="K42" s="484"/>
      <c r="L42" s="484"/>
      <c r="M42" s="484"/>
      <c r="N42" s="284">
        <v>24386.43</v>
      </c>
    </row>
    <row r="43" spans="1:14" ht="18" customHeight="1">
      <c r="A43" s="564" t="s">
        <v>505</v>
      </c>
      <c r="B43" s="564"/>
      <c r="C43" s="564"/>
      <c r="D43" s="564"/>
      <c r="E43" s="486">
        <v>15000</v>
      </c>
      <c r="F43" s="486"/>
      <c r="G43" s="486">
        <v>0</v>
      </c>
      <c r="H43" s="486"/>
      <c r="I43" s="486"/>
      <c r="J43" s="486">
        <v>0</v>
      </c>
      <c r="K43" s="486"/>
      <c r="L43" s="486"/>
      <c r="M43" s="486"/>
      <c r="N43" s="286">
        <v>15000</v>
      </c>
    </row>
    <row r="44" spans="1:14" ht="21.75" customHeight="1">
      <c r="A44" s="564" t="s">
        <v>742</v>
      </c>
      <c r="B44" s="564"/>
      <c r="C44" s="564"/>
      <c r="D44" s="564"/>
      <c r="E44" s="486">
        <v>0</v>
      </c>
      <c r="F44" s="486"/>
      <c r="G44" s="486">
        <v>0</v>
      </c>
      <c r="H44" s="486"/>
      <c r="I44" s="486"/>
      <c r="J44" s="486">
        <v>0</v>
      </c>
      <c r="K44" s="486"/>
      <c r="L44" s="486"/>
      <c r="M44" s="486"/>
      <c r="N44" s="286">
        <v>0</v>
      </c>
    </row>
    <row r="45" spans="1:14" ht="18" customHeight="1">
      <c r="A45" s="564" t="s">
        <v>504</v>
      </c>
      <c r="B45" s="564"/>
      <c r="C45" s="564"/>
      <c r="D45" s="564"/>
      <c r="E45" s="486">
        <v>10000</v>
      </c>
      <c r="F45" s="486"/>
      <c r="G45" s="486">
        <v>5938.7</v>
      </c>
      <c r="H45" s="486"/>
      <c r="I45" s="486"/>
      <c r="J45" s="486">
        <v>5938.7</v>
      </c>
      <c r="K45" s="486"/>
      <c r="L45" s="486"/>
      <c r="M45" s="486"/>
      <c r="N45" s="286">
        <v>4061.3</v>
      </c>
    </row>
    <row r="46" spans="1:14" ht="18" customHeight="1">
      <c r="A46" s="564" t="s">
        <v>503</v>
      </c>
      <c r="B46" s="564"/>
      <c r="C46" s="564"/>
      <c r="D46" s="564"/>
      <c r="E46" s="486">
        <v>23552.28</v>
      </c>
      <c r="F46" s="486"/>
      <c r="G46" s="486">
        <v>23552.28</v>
      </c>
      <c r="H46" s="486"/>
      <c r="I46" s="486"/>
      <c r="J46" s="486">
        <v>23552.28</v>
      </c>
      <c r="K46" s="486"/>
      <c r="L46" s="486"/>
      <c r="M46" s="486"/>
      <c r="N46" s="286">
        <v>0</v>
      </c>
    </row>
    <row r="47" spans="1:14" ht="18" customHeight="1">
      <c r="A47" s="564" t="s">
        <v>502</v>
      </c>
      <c r="B47" s="564"/>
      <c r="C47" s="564"/>
      <c r="D47" s="564"/>
      <c r="E47" s="486">
        <v>1362.8</v>
      </c>
      <c r="F47" s="486"/>
      <c r="G47" s="486">
        <v>0</v>
      </c>
      <c r="H47" s="486"/>
      <c r="I47" s="486"/>
      <c r="J47" s="486">
        <v>0</v>
      </c>
      <c r="K47" s="486"/>
      <c r="L47" s="486"/>
      <c r="M47" s="486"/>
      <c r="N47" s="286">
        <v>1362.8</v>
      </c>
    </row>
    <row r="48" spans="1:14" ht="18" customHeight="1">
      <c r="A48" s="564" t="s">
        <v>743</v>
      </c>
      <c r="B48" s="564"/>
      <c r="C48" s="564"/>
      <c r="D48" s="564"/>
      <c r="E48" s="486">
        <v>0</v>
      </c>
      <c r="F48" s="486"/>
      <c r="G48" s="486">
        <v>0</v>
      </c>
      <c r="H48" s="486"/>
      <c r="I48" s="486"/>
      <c r="J48" s="486">
        <v>0</v>
      </c>
      <c r="K48" s="486"/>
      <c r="L48" s="486"/>
      <c r="M48" s="486"/>
      <c r="N48" s="286">
        <v>0</v>
      </c>
    </row>
    <row r="49" spans="1:14" ht="18" customHeight="1">
      <c r="A49" s="564" t="s">
        <v>744</v>
      </c>
      <c r="B49" s="564"/>
      <c r="C49" s="564"/>
      <c r="D49" s="564"/>
      <c r="E49" s="486">
        <v>0</v>
      </c>
      <c r="F49" s="486"/>
      <c r="G49" s="486">
        <v>0</v>
      </c>
      <c r="H49" s="486"/>
      <c r="I49" s="486"/>
      <c r="J49" s="486">
        <v>0</v>
      </c>
      <c r="K49" s="486"/>
      <c r="L49" s="486"/>
      <c r="M49" s="486"/>
      <c r="N49" s="286">
        <v>0</v>
      </c>
    </row>
    <row r="50" spans="1:14" ht="22.5" customHeight="1">
      <c r="A50" s="564" t="s">
        <v>745</v>
      </c>
      <c r="B50" s="564"/>
      <c r="C50" s="564"/>
      <c r="D50" s="564"/>
      <c r="E50" s="486">
        <v>0</v>
      </c>
      <c r="F50" s="486"/>
      <c r="G50" s="486">
        <v>0</v>
      </c>
      <c r="H50" s="486"/>
      <c r="I50" s="486"/>
      <c r="J50" s="486">
        <v>0</v>
      </c>
      <c r="K50" s="486"/>
      <c r="L50" s="486"/>
      <c r="M50" s="486"/>
      <c r="N50" s="286">
        <v>0</v>
      </c>
    </row>
    <row r="51" spans="1:14" ht="22.5" customHeight="1">
      <c r="A51" s="564" t="s">
        <v>746</v>
      </c>
      <c r="B51" s="564"/>
      <c r="C51" s="564"/>
      <c r="D51" s="564"/>
      <c r="E51" s="486">
        <v>0</v>
      </c>
      <c r="F51" s="486"/>
      <c r="G51" s="486">
        <v>0</v>
      </c>
      <c r="H51" s="486"/>
      <c r="I51" s="486"/>
      <c r="J51" s="486">
        <v>0</v>
      </c>
      <c r="K51" s="486"/>
      <c r="L51" s="486"/>
      <c r="M51" s="486"/>
      <c r="N51" s="286">
        <v>0</v>
      </c>
    </row>
    <row r="52" spans="1:14" ht="18" customHeight="1">
      <c r="A52" s="564" t="s">
        <v>747</v>
      </c>
      <c r="B52" s="564"/>
      <c r="C52" s="564"/>
      <c r="D52" s="564"/>
      <c r="E52" s="486">
        <v>0</v>
      </c>
      <c r="F52" s="486"/>
      <c r="G52" s="486">
        <v>0</v>
      </c>
      <c r="H52" s="486"/>
      <c r="I52" s="486"/>
      <c r="J52" s="486">
        <v>0</v>
      </c>
      <c r="K52" s="486"/>
      <c r="L52" s="486"/>
      <c r="M52" s="486"/>
      <c r="N52" s="286">
        <v>0</v>
      </c>
    </row>
    <row r="53" spans="1:14" ht="18" customHeight="1">
      <c r="A53" s="564" t="s">
        <v>501</v>
      </c>
      <c r="B53" s="564"/>
      <c r="C53" s="564"/>
      <c r="D53" s="564"/>
      <c r="E53" s="486">
        <v>6000</v>
      </c>
      <c r="F53" s="486"/>
      <c r="G53" s="486">
        <v>2037.67</v>
      </c>
      <c r="H53" s="486"/>
      <c r="I53" s="486"/>
      <c r="J53" s="486">
        <v>2037.67</v>
      </c>
      <c r="K53" s="486"/>
      <c r="L53" s="486"/>
      <c r="M53" s="486"/>
      <c r="N53" s="286">
        <v>3962.33</v>
      </c>
    </row>
    <row r="54" spans="1:14" ht="18" customHeight="1">
      <c r="A54" s="564" t="s">
        <v>748</v>
      </c>
      <c r="B54" s="564"/>
      <c r="C54" s="564"/>
      <c r="D54" s="564"/>
      <c r="E54" s="486">
        <v>0</v>
      </c>
      <c r="F54" s="486"/>
      <c r="G54" s="486">
        <v>0</v>
      </c>
      <c r="H54" s="486"/>
      <c r="I54" s="486"/>
      <c r="J54" s="486">
        <v>0</v>
      </c>
      <c r="K54" s="486"/>
      <c r="L54" s="486"/>
      <c r="M54" s="486"/>
      <c r="N54" s="286">
        <v>0</v>
      </c>
    </row>
    <row r="55" spans="1:14" ht="18" customHeight="1">
      <c r="A55" s="564" t="s">
        <v>749</v>
      </c>
      <c r="B55" s="564"/>
      <c r="C55" s="564"/>
      <c r="D55" s="564"/>
      <c r="E55" s="486">
        <v>0</v>
      </c>
      <c r="F55" s="486"/>
      <c r="G55" s="486">
        <v>0</v>
      </c>
      <c r="H55" s="486"/>
      <c r="I55" s="486"/>
      <c r="J55" s="486">
        <v>0</v>
      </c>
      <c r="K55" s="486"/>
      <c r="L55" s="486"/>
      <c r="M55" s="486"/>
      <c r="N55" s="286">
        <v>0</v>
      </c>
    </row>
    <row r="56" spans="1:14" ht="18" customHeight="1">
      <c r="A56" s="566" t="s">
        <v>500</v>
      </c>
      <c r="B56" s="566"/>
      <c r="C56" s="566"/>
      <c r="D56" s="566"/>
      <c r="E56" s="484">
        <v>60634</v>
      </c>
      <c r="F56" s="484"/>
      <c r="G56" s="484">
        <v>51114</v>
      </c>
      <c r="H56" s="484"/>
      <c r="I56" s="484"/>
      <c r="J56" s="484">
        <v>51114</v>
      </c>
      <c r="K56" s="484"/>
      <c r="L56" s="484"/>
      <c r="M56" s="484"/>
      <c r="N56" s="284">
        <v>9520</v>
      </c>
    </row>
    <row r="57" spans="1:14" ht="18" customHeight="1">
      <c r="A57" s="567" t="s">
        <v>499</v>
      </c>
      <c r="B57" s="567"/>
      <c r="C57" s="567"/>
      <c r="D57" s="567"/>
      <c r="E57" s="484">
        <v>45081</v>
      </c>
      <c r="F57" s="484"/>
      <c r="G57" s="484">
        <v>45081</v>
      </c>
      <c r="H57" s="484"/>
      <c r="I57" s="484"/>
      <c r="J57" s="484">
        <v>45081</v>
      </c>
      <c r="K57" s="484"/>
      <c r="L57" s="484"/>
      <c r="M57" s="484"/>
      <c r="N57" s="284">
        <v>0</v>
      </c>
    </row>
    <row r="58" spans="1:14" ht="18" customHeight="1">
      <c r="A58" s="564" t="s">
        <v>750</v>
      </c>
      <c r="B58" s="564"/>
      <c r="C58" s="564"/>
      <c r="D58" s="564"/>
      <c r="E58" s="486">
        <v>0</v>
      </c>
      <c r="F58" s="486"/>
      <c r="G58" s="486">
        <v>0</v>
      </c>
      <c r="H58" s="486"/>
      <c r="I58" s="486"/>
      <c r="J58" s="486">
        <v>0</v>
      </c>
      <c r="K58" s="486"/>
      <c r="L58" s="486"/>
      <c r="M58" s="486"/>
      <c r="N58" s="286">
        <v>0</v>
      </c>
    </row>
    <row r="59" spans="1:14" ht="18" customHeight="1">
      <c r="A59" s="564" t="s">
        <v>498</v>
      </c>
      <c r="B59" s="564"/>
      <c r="C59" s="564"/>
      <c r="D59" s="564"/>
      <c r="E59" s="486">
        <v>30156</v>
      </c>
      <c r="F59" s="486"/>
      <c r="G59" s="486">
        <v>30156</v>
      </c>
      <c r="H59" s="486"/>
      <c r="I59" s="486"/>
      <c r="J59" s="486">
        <v>30156</v>
      </c>
      <c r="K59" s="486"/>
      <c r="L59" s="486"/>
      <c r="M59" s="486"/>
      <c r="N59" s="286">
        <v>0</v>
      </c>
    </row>
    <row r="60" spans="1:14" ht="18" customHeight="1">
      <c r="A60" s="564" t="s">
        <v>497</v>
      </c>
      <c r="B60" s="564"/>
      <c r="C60" s="564"/>
      <c r="D60" s="564"/>
      <c r="E60" s="486">
        <v>14925</v>
      </c>
      <c r="F60" s="486"/>
      <c r="G60" s="486">
        <v>14925</v>
      </c>
      <c r="H60" s="486"/>
      <c r="I60" s="486"/>
      <c r="J60" s="486">
        <v>14925</v>
      </c>
      <c r="K60" s="486"/>
      <c r="L60" s="486"/>
      <c r="M60" s="486"/>
      <c r="N60" s="286">
        <v>0</v>
      </c>
    </row>
    <row r="61" spans="1:14" ht="18" customHeight="1">
      <c r="A61" s="567" t="s">
        <v>496</v>
      </c>
      <c r="B61" s="567"/>
      <c r="C61" s="567"/>
      <c r="D61" s="567"/>
      <c r="E61" s="484">
        <v>15553</v>
      </c>
      <c r="F61" s="484"/>
      <c r="G61" s="484">
        <v>6033</v>
      </c>
      <c r="H61" s="484"/>
      <c r="I61" s="484"/>
      <c r="J61" s="484">
        <v>6033</v>
      </c>
      <c r="K61" s="484"/>
      <c r="L61" s="484"/>
      <c r="M61" s="484"/>
      <c r="N61" s="284">
        <v>9520</v>
      </c>
    </row>
    <row r="62" spans="1:14" ht="18" customHeight="1">
      <c r="A62" s="564" t="s">
        <v>495</v>
      </c>
      <c r="B62" s="564"/>
      <c r="C62" s="564"/>
      <c r="D62" s="564"/>
      <c r="E62" s="486">
        <v>5553</v>
      </c>
      <c r="F62" s="486"/>
      <c r="G62" s="486">
        <v>5553</v>
      </c>
      <c r="H62" s="486"/>
      <c r="I62" s="486"/>
      <c r="J62" s="486">
        <v>5553</v>
      </c>
      <c r="K62" s="486"/>
      <c r="L62" s="486"/>
      <c r="M62" s="486"/>
      <c r="N62" s="286">
        <v>0</v>
      </c>
    </row>
    <row r="63" spans="1:14" ht="18" customHeight="1">
      <c r="A63" s="564" t="s">
        <v>494</v>
      </c>
      <c r="B63" s="564"/>
      <c r="C63" s="564"/>
      <c r="D63" s="564"/>
      <c r="E63" s="486">
        <v>10000</v>
      </c>
      <c r="F63" s="486"/>
      <c r="G63" s="486">
        <v>480</v>
      </c>
      <c r="H63" s="486"/>
      <c r="I63" s="486"/>
      <c r="J63" s="486">
        <v>480</v>
      </c>
      <c r="K63" s="486"/>
      <c r="L63" s="486"/>
      <c r="M63" s="486"/>
      <c r="N63" s="286">
        <v>9520</v>
      </c>
    </row>
    <row r="64" spans="1:14" ht="18" customHeight="1">
      <c r="A64" s="566" t="s">
        <v>493</v>
      </c>
      <c r="B64" s="566"/>
      <c r="C64" s="566"/>
      <c r="D64" s="566"/>
      <c r="E64" s="484">
        <v>826048.65</v>
      </c>
      <c r="F64" s="484"/>
      <c r="G64" s="484">
        <v>743838.1</v>
      </c>
      <c r="H64" s="484"/>
      <c r="I64" s="484"/>
      <c r="J64" s="484">
        <v>743838.1</v>
      </c>
      <c r="K64" s="484"/>
      <c r="L64" s="484"/>
      <c r="M64" s="484"/>
      <c r="N64" s="284">
        <v>82210.55</v>
      </c>
    </row>
    <row r="65" spans="1:14" ht="18" customHeight="1">
      <c r="A65" s="567" t="s">
        <v>492</v>
      </c>
      <c r="B65" s="567"/>
      <c r="C65" s="567"/>
      <c r="D65" s="567"/>
      <c r="E65" s="484">
        <v>12756</v>
      </c>
      <c r="F65" s="484"/>
      <c r="G65" s="484">
        <v>12756</v>
      </c>
      <c r="H65" s="484"/>
      <c r="I65" s="484"/>
      <c r="J65" s="484">
        <v>12756</v>
      </c>
      <c r="K65" s="484"/>
      <c r="L65" s="484"/>
      <c r="M65" s="484"/>
      <c r="N65" s="284">
        <v>0</v>
      </c>
    </row>
    <row r="66" spans="1:14" ht="18" customHeight="1">
      <c r="A66" s="564" t="s">
        <v>751</v>
      </c>
      <c r="B66" s="564"/>
      <c r="C66" s="564"/>
      <c r="D66" s="564"/>
      <c r="E66" s="486">
        <v>0</v>
      </c>
      <c r="F66" s="486"/>
      <c r="G66" s="486">
        <v>0</v>
      </c>
      <c r="H66" s="486"/>
      <c r="I66" s="486"/>
      <c r="J66" s="486">
        <v>0</v>
      </c>
      <c r="K66" s="486"/>
      <c r="L66" s="486"/>
      <c r="M66" s="486"/>
      <c r="N66" s="286">
        <v>0</v>
      </c>
    </row>
    <row r="67" spans="1:14" ht="18" customHeight="1">
      <c r="A67" s="564" t="s">
        <v>491</v>
      </c>
      <c r="B67" s="564"/>
      <c r="C67" s="564"/>
      <c r="D67" s="564"/>
      <c r="E67" s="486">
        <v>12756</v>
      </c>
      <c r="F67" s="486"/>
      <c r="G67" s="486">
        <v>12756</v>
      </c>
      <c r="H67" s="486"/>
      <c r="I67" s="486"/>
      <c r="J67" s="486">
        <v>12756</v>
      </c>
      <c r="K67" s="486"/>
      <c r="L67" s="486"/>
      <c r="M67" s="486"/>
      <c r="N67" s="286">
        <v>0</v>
      </c>
    </row>
    <row r="68" spans="1:14" ht="18" customHeight="1">
      <c r="A68" s="564" t="s">
        <v>752</v>
      </c>
      <c r="B68" s="564"/>
      <c r="C68" s="564"/>
      <c r="D68" s="564"/>
      <c r="E68" s="486">
        <v>0</v>
      </c>
      <c r="F68" s="486"/>
      <c r="G68" s="486">
        <v>0</v>
      </c>
      <c r="H68" s="486"/>
      <c r="I68" s="486"/>
      <c r="J68" s="486">
        <v>0</v>
      </c>
      <c r="K68" s="486"/>
      <c r="L68" s="486"/>
      <c r="M68" s="486"/>
      <c r="N68" s="286">
        <v>0</v>
      </c>
    </row>
    <row r="69" spans="1:14" ht="18" customHeight="1">
      <c r="A69" s="564" t="s">
        <v>753</v>
      </c>
      <c r="B69" s="564"/>
      <c r="C69" s="564"/>
      <c r="D69" s="564"/>
      <c r="E69" s="486">
        <v>0</v>
      </c>
      <c r="F69" s="486"/>
      <c r="G69" s="486">
        <v>0</v>
      </c>
      <c r="H69" s="486"/>
      <c r="I69" s="486"/>
      <c r="J69" s="486">
        <v>0</v>
      </c>
      <c r="K69" s="486"/>
      <c r="L69" s="486"/>
      <c r="M69" s="486"/>
      <c r="N69" s="286">
        <v>0</v>
      </c>
    </row>
    <row r="70" spans="1:14" ht="18" customHeight="1">
      <c r="A70" s="567" t="s">
        <v>490</v>
      </c>
      <c r="B70" s="567"/>
      <c r="C70" s="567"/>
      <c r="D70" s="567"/>
      <c r="E70" s="484">
        <v>50000</v>
      </c>
      <c r="F70" s="484"/>
      <c r="G70" s="484">
        <v>7037.52</v>
      </c>
      <c r="H70" s="484"/>
      <c r="I70" s="484"/>
      <c r="J70" s="484">
        <v>7037.52</v>
      </c>
      <c r="K70" s="484"/>
      <c r="L70" s="484"/>
      <c r="M70" s="484"/>
      <c r="N70" s="284">
        <v>42962.48</v>
      </c>
    </row>
    <row r="71" spans="1:14" ht="18" customHeight="1">
      <c r="A71" s="564" t="s">
        <v>754</v>
      </c>
      <c r="B71" s="564"/>
      <c r="C71" s="564"/>
      <c r="D71" s="564"/>
      <c r="E71" s="486">
        <v>0</v>
      </c>
      <c r="F71" s="486"/>
      <c r="G71" s="486">
        <v>0</v>
      </c>
      <c r="H71" s="486"/>
      <c r="I71" s="486"/>
      <c r="J71" s="486">
        <v>0</v>
      </c>
      <c r="K71" s="486"/>
      <c r="L71" s="486"/>
      <c r="M71" s="486"/>
      <c r="N71" s="286">
        <v>0</v>
      </c>
    </row>
    <row r="72" spans="1:14" ht="18" customHeight="1">
      <c r="A72" s="564" t="s">
        <v>755</v>
      </c>
      <c r="B72" s="564"/>
      <c r="C72" s="564"/>
      <c r="D72" s="564"/>
      <c r="E72" s="486">
        <v>0</v>
      </c>
      <c r="F72" s="486"/>
      <c r="G72" s="486">
        <v>0</v>
      </c>
      <c r="H72" s="486"/>
      <c r="I72" s="486"/>
      <c r="J72" s="486">
        <v>0</v>
      </c>
      <c r="K72" s="486"/>
      <c r="L72" s="486"/>
      <c r="M72" s="486"/>
      <c r="N72" s="286">
        <v>0</v>
      </c>
    </row>
    <row r="73" spans="1:14" ht="18" customHeight="1">
      <c r="A73" s="564" t="s">
        <v>756</v>
      </c>
      <c r="B73" s="564"/>
      <c r="C73" s="564"/>
      <c r="D73" s="564"/>
      <c r="E73" s="486">
        <v>0</v>
      </c>
      <c r="F73" s="486"/>
      <c r="G73" s="486">
        <v>0</v>
      </c>
      <c r="H73" s="486"/>
      <c r="I73" s="486"/>
      <c r="J73" s="486">
        <v>0</v>
      </c>
      <c r="K73" s="486"/>
      <c r="L73" s="486"/>
      <c r="M73" s="486"/>
      <c r="N73" s="286">
        <v>0</v>
      </c>
    </row>
    <row r="74" spans="1:14" ht="22.5" customHeight="1">
      <c r="A74" s="564" t="s">
        <v>489</v>
      </c>
      <c r="B74" s="564"/>
      <c r="C74" s="564"/>
      <c r="D74" s="564"/>
      <c r="E74" s="486">
        <v>50000</v>
      </c>
      <c r="F74" s="486"/>
      <c r="G74" s="486">
        <v>7037.52</v>
      </c>
      <c r="H74" s="486"/>
      <c r="I74" s="486"/>
      <c r="J74" s="486">
        <v>7037.52</v>
      </c>
      <c r="K74" s="486"/>
      <c r="L74" s="486"/>
      <c r="M74" s="486"/>
      <c r="N74" s="286">
        <v>42962.48</v>
      </c>
    </row>
    <row r="75" spans="1:14" ht="18" customHeight="1">
      <c r="A75" s="567" t="s">
        <v>757</v>
      </c>
      <c r="B75" s="567"/>
      <c r="C75" s="567"/>
      <c r="D75" s="567"/>
      <c r="E75" s="484">
        <v>0</v>
      </c>
      <c r="F75" s="484"/>
      <c r="G75" s="484">
        <v>0</v>
      </c>
      <c r="H75" s="484"/>
      <c r="I75" s="484"/>
      <c r="J75" s="484">
        <v>0</v>
      </c>
      <c r="K75" s="484"/>
      <c r="L75" s="484"/>
      <c r="M75" s="484"/>
      <c r="N75" s="284">
        <v>0</v>
      </c>
    </row>
    <row r="76" spans="1:14" ht="18" customHeight="1">
      <c r="A76" s="564" t="s">
        <v>758</v>
      </c>
      <c r="B76" s="564"/>
      <c r="C76" s="564"/>
      <c r="D76" s="564"/>
      <c r="E76" s="486">
        <v>0</v>
      </c>
      <c r="F76" s="486"/>
      <c r="G76" s="486">
        <v>0</v>
      </c>
      <c r="H76" s="486"/>
      <c r="I76" s="486"/>
      <c r="J76" s="486">
        <v>0</v>
      </c>
      <c r="K76" s="486"/>
      <c r="L76" s="486"/>
      <c r="M76" s="486"/>
      <c r="N76" s="286">
        <v>0</v>
      </c>
    </row>
    <row r="77" spans="1:14" ht="18" customHeight="1">
      <c r="A77" s="564" t="s">
        <v>759</v>
      </c>
      <c r="B77" s="564"/>
      <c r="C77" s="564"/>
      <c r="D77" s="564"/>
      <c r="E77" s="486">
        <v>0</v>
      </c>
      <c r="F77" s="486"/>
      <c r="G77" s="486">
        <v>0</v>
      </c>
      <c r="H77" s="486"/>
      <c r="I77" s="486"/>
      <c r="J77" s="486">
        <v>0</v>
      </c>
      <c r="K77" s="486"/>
      <c r="L77" s="486"/>
      <c r="M77" s="486"/>
      <c r="N77" s="286">
        <v>0</v>
      </c>
    </row>
    <row r="78" spans="1:14" ht="18" customHeight="1">
      <c r="A78" s="564" t="s">
        <v>760</v>
      </c>
      <c r="B78" s="564"/>
      <c r="C78" s="564"/>
      <c r="D78" s="564"/>
      <c r="E78" s="486">
        <v>0</v>
      </c>
      <c r="F78" s="486"/>
      <c r="G78" s="486">
        <v>0</v>
      </c>
      <c r="H78" s="486"/>
      <c r="I78" s="486"/>
      <c r="J78" s="486">
        <v>0</v>
      </c>
      <c r="K78" s="486"/>
      <c r="L78" s="486"/>
      <c r="M78" s="486"/>
      <c r="N78" s="286">
        <v>0</v>
      </c>
    </row>
    <row r="79" spans="1:14" ht="18" customHeight="1">
      <c r="A79" s="564" t="s">
        <v>761</v>
      </c>
      <c r="B79" s="564"/>
      <c r="C79" s="564"/>
      <c r="D79" s="564"/>
      <c r="E79" s="486">
        <v>0</v>
      </c>
      <c r="F79" s="486"/>
      <c r="G79" s="486">
        <v>0</v>
      </c>
      <c r="H79" s="486"/>
      <c r="I79" s="486"/>
      <c r="J79" s="486">
        <v>0</v>
      </c>
      <c r="K79" s="486"/>
      <c r="L79" s="486"/>
      <c r="M79" s="486"/>
      <c r="N79" s="286">
        <v>0</v>
      </c>
    </row>
    <row r="80" spans="1:14" ht="18" customHeight="1">
      <c r="A80" s="564" t="s">
        <v>762</v>
      </c>
      <c r="B80" s="564"/>
      <c r="C80" s="564"/>
      <c r="D80" s="564"/>
      <c r="E80" s="486">
        <v>0</v>
      </c>
      <c r="F80" s="486"/>
      <c r="G80" s="486">
        <v>0</v>
      </c>
      <c r="H80" s="486"/>
      <c r="I80" s="486"/>
      <c r="J80" s="486">
        <v>0</v>
      </c>
      <c r="K80" s="486"/>
      <c r="L80" s="486"/>
      <c r="M80" s="486"/>
      <c r="N80" s="286">
        <v>0</v>
      </c>
    </row>
    <row r="81" spans="1:14" ht="18" customHeight="1">
      <c r="A81" s="564" t="s">
        <v>763</v>
      </c>
      <c r="B81" s="564"/>
      <c r="C81" s="564"/>
      <c r="D81" s="564"/>
      <c r="E81" s="486">
        <v>0</v>
      </c>
      <c r="F81" s="486"/>
      <c r="G81" s="486">
        <v>0</v>
      </c>
      <c r="H81" s="486"/>
      <c r="I81" s="486"/>
      <c r="J81" s="486">
        <v>0</v>
      </c>
      <c r="K81" s="486"/>
      <c r="L81" s="486"/>
      <c r="M81" s="486"/>
      <c r="N81" s="286">
        <v>0</v>
      </c>
    </row>
    <row r="82" spans="1:14" ht="18" customHeight="1">
      <c r="A82" s="564" t="s">
        <v>455</v>
      </c>
      <c r="B82" s="564"/>
      <c r="C82" s="564"/>
      <c r="D82" s="564"/>
      <c r="E82" s="486">
        <v>0</v>
      </c>
      <c r="F82" s="486"/>
      <c r="G82" s="486">
        <v>0</v>
      </c>
      <c r="H82" s="486"/>
      <c r="I82" s="486"/>
      <c r="J82" s="486">
        <v>0</v>
      </c>
      <c r="K82" s="486"/>
      <c r="L82" s="486"/>
      <c r="M82" s="486"/>
      <c r="N82" s="286">
        <v>0</v>
      </c>
    </row>
    <row r="83" spans="1:14" ht="18" customHeight="1">
      <c r="A83" s="567" t="s">
        <v>488</v>
      </c>
      <c r="B83" s="567"/>
      <c r="C83" s="567"/>
      <c r="D83" s="567"/>
      <c r="E83" s="484">
        <v>748802.65</v>
      </c>
      <c r="F83" s="484"/>
      <c r="G83" s="484">
        <v>710095.55</v>
      </c>
      <c r="H83" s="484"/>
      <c r="I83" s="484"/>
      <c r="J83" s="484">
        <v>710095.55</v>
      </c>
      <c r="K83" s="484"/>
      <c r="L83" s="484"/>
      <c r="M83" s="484"/>
      <c r="N83" s="284">
        <v>38707.1</v>
      </c>
    </row>
    <row r="84" spans="1:14" ht="18" customHeight="1">
      <c r="A84" s="564" t="s">
        <v>487</v>
      </c>
      <c r="B84" s="564"/>
      <c r="C84" s="564"/>
      <c r="D84" s="564"/>
      <c r="E84" s="486">
        <v>1000</v>
      </c>
      <c r="F84" s="486"/>
      <c r="G84" s="486">
        <v>780</v>
      </c>
      <c r="H84" s="486"/>
      <c r="I84" s="486"/>
      <c r="J84" s="486">
        <v>780</v>
      </c>
      <c r="K84" s="486"/>
      <c r="L84" s="486"/>
      <c r="M84" s="486"/>
      <c r="N84" s="286">
        <v>220</v>
      </c>
    </row>
    <row r="85" spans="1:14" ht="21.75" customHeight="1">
      <c r="A85" s="564" t="s">
        <v>486</v>
      </c>
      <c r="B85" s="564"/>
      <c r="C85" s="564"/>
      <c r="D85" s="564"/>
      <c r="E85" s="486">
        <v>35520</v>
      </c>
      <c r="F85" s="486"/>
      <c r="G85" s="486">
        <v>33296.199999999997</v>
      </c>
      <c r="H85" s="486"/>
      <c r="I85" s="486"/>
      <c r="J85" s="486">
        <v>33296.199999999997</v>
      </c>
      <c r="K85" s="486"/>
      <c r="L85" s="486"/>
      <c r="M85" s="486"/>
      <c r="N85" s="286">
        <v>2223.8000000000002</v>
      </c>
    </row>
    <row r="86" spans="1:14" ht="18" customHeight="1">
      <c r="A86" s="564" t="s">
        <v>485</v>
      </c>
      <c r="B86" s="564"/>
      <c r="C86" s="564"/>
      <c r="D86" s="564"/>
      <c r="E86" s="486">
        <v>1643</v>
      </c>
      <c r="F86" s="486"/>
      <c r="G86" s="486">
        <v>1500</v>
      </c>
      <c r="H86" s="486"/>
      <c r="I86" s="486"/>
      <c r="J86" s="486">
        <v>1500</v>
      </c>
      <c r="K86" s="486"/>
      <c r="L86" s="486"/>
      <c r="M86" s="486"/>
      <c r="N86" s="286">
        <v>143</v>
      </c>
    </row>
    <row r="87" spans="1:14" ht="18" customHeight="1">
      <c r="A87" s="564" t="s">
        <v>764</v>
      </c>
      <c r="B87" s="564"/>
      <c r="C87" s="564"/>
      <c r="D87" s="564"/>
      <c r="E87" s="486">
        <v>0</v>
      </c>
      <c r="F87" s="486"/>
      <c r="G87" s="486">
        <v>0</v>
      </c>
      <c r="H87" s="486"/>
      <c r="I87" s="486"/>
      <c r="J87" s="486">
        <v>0</v>
      </c>
      <c r="K87" s="486"/>
      <c r="L87" s="486"/>
      <c r="M87" s="486"/>
      <c r="N87" s="286">
        <v>0</v>
      </c>
    </row>
    <row r="88" spans="1:14" ht="18" customHeight="1">
      <c r="A88" s="564" t="s">
        <v>484</v>
      </c>
      <c r="B88" s="564"/>
      <c r="C88" s="564"/>
      <c r="D88" s="564"/>
      <c r="E88" s="486">
        <v>0</v>
      </c>
      <c r="F88" s="486"/>
      <c r="G88" s="486">
        <v>0</v>
      </c>
      <c r="H88" s="486"/>
      <c r="I88" s="486"/>
      <c r="J88" s="486">
        <v>0</v>
      </c>
      <c r="K88" s="486"/>
      <c r="L88" s="486"/>
      <c r="M88" s="486"/>
      <c r="N88" s="286">
        <v>0</v>
      </c>
    </row>
    <row r="89" spans="1:14" ht="22.5" customHeight="1">
      <c r="A89" s="564" t="s">
        <v>483</v>
      </c>
      <c r="B89" s="564"/>
      <c r="C89" s="564"/>
      <c r="D89" s="564"/>
      <c r="E89" s="486">
        <v>220939.55</v>
      </c>
      <c r="F89" s="486"/>
      <c r="G89" s="486">
        <v>220819.13</v>
      </c>
      <c r="H89" s="486"/>
      <c r="I89" s="486"/>
      <c r="J89" s="486">
        <v>220819.13</v>
      </c>
      <c r="K89" s="486"/>
      <c r="L89" s="486"/>
      <c r="M89" s="486"/>
      <c r="N89" s="286">
        <v>120.42</v>
      </c>
    </row>
    <row r="90" spans="1:14" ht="18" customHeight="1">
      <c r="A90" s="564" t="s">
        <v>482</v>
      </c>
      <c r="B90" s="564"/>
      <c r="C90" s="564"/>
      <c r="D90" s="564"/>
      <c r="E90" s="486">
        <v>1500</v>
      </c>
      <c r="F90" s="486"/>
      <c r="G90" s="486">
        <v>843.63</v>
      </c>
      <c r="H90" s="486"/>
      <c r="I90" s="486"/>
      <c r="J90" s="486">
        <v>843.63</v>
      </c>
      <c r="K90" s="486"/>
      <c r="L90" s="486"/>
      <c r="M90" s="486"/>
      <c r="N90" s="286">
        <v>656.37</v>
      </c>
    </row>
    <row r="91" spans="1:14" ht="18" customHeight="1">
      <c r="A91" s="564" t="s">
        <v>481</v>
      </c>
      <c r="B91" s="564"/>
      <c r="C91" s="564"/>
      <c r="D91" s="564"/>
      <c r="E91" s="486">
        <v>1900</v>
      </c>
      <c r="F91" s="486"/>
      <c r="G91" s="486">
        <v>1899.85</v>
      </c>
      <c r="H91" s="486"/>
      <c r="I91" s="486"/>
      <c r="J91" s="486">
        <v>1899.85</v>
      </c>
      <c r="K91" s="486"/>
      <c r="L91" s="486"/>
      <c r="M91" s="486"/>
      <c r="N91" s="286">
        <v>0.15</v>
      </c>
    </row>
    <row r="92" spans="1:14" ht="22.5" customHeight="1">
      <c r="A92" s="564" t="s">
        <v>765</v>
      </c>
      <c r="B92" s="564"/>
      <c r="C92" s="564"/>
      <c r="D92" s="564"/>
      <c r="E92" s="486">
        <v>0</v>
      </c>
      <c r="F92" s="486"/>
      <c r="G92" s="486">
        <v>0</v>
      </c>
      <c r="H92" s="486"/>
      <c r="I92" s="486"/>
      <c r="J92" s="486">
        <v>0</v>
      </c>
      <c r="K92" s="486"/>
      <c r="L92" s="486"/>
      <c r="M92" s="486"/>
      <c r="N92" s="286">
        <v>0</v>
      </c>
    </row>
    <row r="93" spans="1:14" ht="18" customHeight="1">
      <c r="A93" s="564" t="s">
        <v>766</v>
      </c>
      <c r="B93" s="564"/>
      <c r="C93" s="564"/>
      <c r="D93" s="564"/>
      <c r="E93" s="486">
        <v>0</v>
      </c>
      <c r="F93" s="486"/>
      <c r="G93" s="486">
        <v>0</v>
      </c>
      <c r="H93" s="486"/>
      <c r="I93" s="486"/>
      <c r="J93" s="486">
        <v>0</v>
      </c>
      <c r="K93" s="486"/>
      <c r="L93" s="486"/>
      <c r="M93" s="486"/>
      <c r="N93" s="286">
        <v>0</v>
      </c>
    </row>
    <row r="94" spans="1:14" ht="18" customHeight="1">
      <c r="A94" s="564" t="s">
        <v>480</v>
      </c>
      <c r="B94" s="564"/>
      <c r="C94" s="564"/>
      <c r="D94" s="564"/>
      <c r="E94" s="486">
        <v>206490</v>
      </c>
      <c r="F94" s="486"/>
      <c r="G94" s="486">
        <v>201447.78</v>
      </c>
      <c r="H94" s="486"/>
      <c r="I94" s="486"/>
      <c r="J94" s="486">
        <v>201447.78</v>
      </c>
      <c r="K94" s="486"/>
      <c r="L94" s="486"/>
      <c r="M94" s="486"/>
      <c r="N94" s="286">
        <v>5042.22</v>
      </c>
    </row>
    <row r="95" spans="1:14" ht="22.5" customHeight="1">
      <c r="A95" s="564" t="s">
        <v>479</v>
      </c>
      <c r="B95" s="564"/>
      <c r="C95" s="564"/>
      <c r="D95" s="564"/>
      <c r="E95" s="486">
        <v>34610.15</v>
      </c>
      <c r="F95" s="486"/>
      <c r="G95" s="486">
        <v>33690.47</v>
      </c>
      <c r="H95" s="486"/>
      <c r="I95" s="486"/>
      <c r="J95" s="486">
        <v>33690.47</v>
      </c>
      <c r="K95" s="486"/>
      <c r="L95" s="486"/>
      <c r="M95" s="486"/>
      <c r="N95" s="286">
        <v>919.68</v>
      </c>
    </row>
    <row r="96" spans="1:14" ht="18" customHeight="1">
      <c r="A96" s="564" t="s">
        <v>478</v>
      </c>
      <c r="B96" s="564"/>
      <c r="C96" s="564"/>
      <c r="D96" s="564"/>
      <c r="E96" s="486">
        <v>3000</v>
      </c>
      <c r="F96" s="486"/>
      <c r="G96" s="486">
        <v>0</v>
      </c>
      <c r="H96" s="486"/>
      <c r="I96" s="486"/>
      <c r="J96" s="486">
        <v>0</v>
      </c>
      <c r="K96" s="486"/>
      <c r="L96" s="486"/>
      <c r="M96" s="486"/>
      <c r="N96" s="286">
        <v>3000</v>
      </c>
    </row>
    <row r="97" spans="1:14" ht="18" customHeight="1">
      <c r="A97" s="564" t="s">
        <v>477</v>
      </c>
      <c r="B97" s="564"/>
      <c r="C97" s="564"/>
      <c r="D97" s="564"/>
      <c r="E97" s="486">
        <v>25200</v>
      </c>
      <c r="F97" s="486"/>
      <c r="G97" s="486">
        <v>25200</v>
      </c>
      <c r="H97" s="486"/>
      <c r="I97" s="486"/>
      <c r="J97" s="486">
        <v>25200</v>
      </c>
      <c r="K97" s="486"/>
      <c r="L97" s="486"/>
      <c r="M97" s="486"/>
      <c r="N97" s="286">
        <v>0</v>
      </c>
    </row>
    <row r="98" spans="1:14" ht="18" customHeight="1">
      <c r="A98" s="564" t="s">
        <v>767</v>
      </c>
      <c r="B98" s="564"/>
      <c r="C98" s="564"/>
      <c r="D98" s="564"/>
      <c r="E98" s="486">
        <v>0</v>
      </c>
      <c r="F98" s="486"/>
      <c r="G98" s="486">
        <v>0</v>
      </c>
      <c r="H98" s="486"/>
      <c r="I98" s="486"/>
      <c r="J98" s="486">
        <v>0</v>
      </c>
      <c r="K98" s="486"/>
      <c r="L98" s="486"/>
      <c r="M98" s="486"/>
      <c r="N98" s="286">
        <v>0</v>
      </c>
    </row>
    <row r="99" spans="1:14" ht="18" customHeight="1">
      <c r="A99" s="564" t="s">
        <v>476</v>
      </c>
      <c r="B99" s="564"/>
      <c r="C99" s="564"/>
      <c r="D99" s="564"/>
      <c r="E99" s="486">
        <v>6000</v>
      </c>
      <c r="F99" s="486"/>
      <c r="G99" s="486">
        <v>6000</v>
      </c>
      <c r="H99" s="486"/>
      <c r="I99" s="486"/>
      <c r="J99" s="486">
        <v>6000</v>
      </c>
      <c r="K99" s="486"/>
      <c r="L99" s="486"/>
      <c r="M99" s="486"/>
      <c r="N99" s="286">
        <v>0</v>
      </c>
    </row>
    <row r="100" spans="1:14" ht="21.75" customHeight="1">
      <c r="A100" s="564" t="s">
        <v>475</v>
      </c>
      <c r="B100" s="564"/>
      <c r="C100" s="564"/>
      <c r="D100" s="564"/>
      <c r="E100" s="486">
        <v>2037</v>
      </c>
      <c r="F100" s="486"/>
      <c r="G100" s="486">
        <v>2037</v>
      </c>
      <c r="H100" s="486"/>
      <c r="I100" s="486"/>
      <c r="J100" s="486">
        <v>2037</v>
      </c>
      <c r="K100" s="486"/>
      <c r="L100" s="486"/>
      <c r="M100" s="486"/>
      <c r="N100" s="286">
        <v>0</v>
      </c>
    </row>
    <row r="101" spans="1:14" ht="18" customHeight="1">
      <c r="A101" s="564" t="s">
        <v>768</v>
      </c>
      <c r="B101" s="564"/>
      <c r="C101" s="564"/>
      <c r="D101" s="564"/>
      <c r="E101" s="486">
        <v>0</v>
      </c>
      <c r="F101" s="486"/>
      <c r="G101" s="486">
        <v>0</v>
      </c>
      <c r="H101" s="486"/>
      <c r="I101" s="486"/>
      <c r="J101" s="486">
        <v>0</v>
      </c>
      <c r="K101" s="486"/>
      <c r="L101" s="486"/>
      <c r="M101" s="486"/>
      <c r="N101" s="286">
        <v>0</v>
      </c>
    </row>
    <row r="102" spans="1:14" ht="18" customHeight="1">
      <c r="A102" s="564" t="s">
        <v>474</v>
      </c>
      <c r="B102" s="564"/>
      <c r="C102" s="564"/>
      <c r="D102" s="564"/>
      <c r="E102" s="486">
        <v>65000</v>
      </c>
      <c r="F102" s="486"/>
      <c r="G102" s="486">
        <v>63375</v>
      </c>
      <c r="H102" s="486"/>
      <c r="I102" s="486"/>
      <c r="J102" s="486">
        <v>63375</v>
      </c>
      <c r="K102" s="486"/>
      <c r="L102" s="486"/>
      <c r="M102" s="486"/>
      <c r="N102" s="286">
        <v>1625</v>
      </c>
    </row>
    <row r="103" spans="1:14" ht="18" customHeight="1">
      <c r="A103" s="564" t="s">
        <v>473</v>
      </c>
      <c r="B103" s="564"/>
      <c r="C103" s="564"/>
      <c r="D103" s="564"/>
      <c r="E103" s="486">
        <v>14400</v>
      </c>
      <c r="F103" s="486"/>
      <c r="G103" s="486">
        <v>8585.7199999999993</v>
      </c>
      <c r="H103" s="486"/>
      <c r="I103" s="486"/>
      <c r="J103" s="486">
        <v>8585.7199999999993</v>
      </c>
      <c r="K103" s="486"/>
      <c r="L103" s="486"/>
      <c r="M103" s="486"/>
      <c r="N103" s="286">
        <v>5814.28</v>
      </c>
    </row>
    <row r="104" spans="1:14" ht="18" customHeight="1">
      <c r="A104" s="564" t="s">
        <v>769</v>
      </c>
      <c r="B104" s="564"/>
      <c r="C104" s="564"/>
      <c r="D104" s="564"/>
      <c r="E104" s="486">
        <v>0</v>
      </c>
      <c r="F104" s="486"/>
      <c r="G104" s="486">
        <v>0</v>
      </c>
      <c r="H104" s="486"/>
      <c r="I104" s="486"/>
      <c r="J104" s="486">
        <v>0</v>
      </c>
      <c r="K104" s="486"/>
      <c r="L104" s="486"/>
      <c r="M104" s="486"/>
      <c r="N104" s="286">
        <v>0</v>
      </c>
    </row>
    <row r="105" spans="1:14" ht="18" customHeight="1">
      <c r="A105" s="564" t="s">
        <v>472</v>
      </c>
      <c r="B105" s="564"/>
      <c r="C105" s="564"/>
      <c r="D105" s="564"/>
      <c r="E105" s="486">
        <v>0</v>
      </c>
      <c r="F105" s="486"/>
      <c r="G105" s="486">
        <v>0</v>
      </c>
      <c r="H105" s="486"/>
      <c r="I105" s="486"/>
      <c r="J105" s="486">
        <v>0</v>
      </c>
      <c r="K105" s="486"/>
      <c r="L105" s="486"/>
      <c r="M105" s="486"/>
      <c r="N105" s="286">
        <v>0</v>
      </c>
    </row>
    <row r="106" spans="1:14" ht="18" customHeight="1">
      <c r="A106" s="564" t="s">
        <v>770</v>
      </c>
      <c r="B106" s="564"/>
      <c r="C106" s="564"/>
      <c r="D106" s="564"/>
      <c r="E106" s="486">
        <v>0</v>
      </c>
      <c r="F106" s="486"/>
      <c r="G106" s="486">
        <v>0</v>
      </c>
      <c r="H106" s="486"/>
      <c r="I106" s="486"/>
      <c r="J106" s="486">
        <v>0</v>
      </c>
      <c r="K106" s="486"/>
      <c r="L106" s="486"/>
      <c r="M106" s="486"/>
      <c r="N106" s="286">
        <v>0</v>
      </c>
    </row>
    <row r="107" spans="1:14" ht="22.5" customHeight="1">
      <c r="A107" s="564" t="s">
        <v>771</v>
      </c>
      <c r="B107" s="564"/>
      <c r="C107" s="564"/>
      <c r="D107" s="564"/>
      <c r="E107" s="486">
        <v>0</v>
      </c>
      <c r="F107" s="486"/>
      <c r="G107" s="486">
        <v>0</v>
      </c>
      <c r="H107" s="486"/>
      <c r="I107" s="486"/>
      <c r="J107" s="486">
        <v>0</v>
      </c>
      <c r="K107" s="486"/>
      <c r="L107" s="486"/>
      <c r="M107" s="486"/>
      <c r="N107" s="286">
        <v>0</v>
      </c>
    </row>
    <row r="108" spans="1:14" ht="18" customHeight="1">
      <c r="A108" s="564" t="s">
        <v>772</v>
      </c>
      <c r="B108" s="564"/>
      <c r="C108" s="564"/>
      <c r="D108" s="564"/>
      <c r="E108" s="486">
        <v>0</v>
      </c>
      <c r="F108" s="486"/>
      <c r="G108" s="486">
        <v>0</v>
      </c>
      <c r="H108" s="486"/>
      <c r="I108" s="486"/>
      <c r="J108" s="486">
        <v>0</v>
      </c>
      <c r="K108" s="486"/>
      <c r="L108" s="486"/>
      <c r="M108" s="486"/>
      <c r="N108" s="286">
        <v>0</v>
      </c>
    </row>
    <row r="109" spans="1:14" ht="18" customHeight="1">
      <c r="A109" s="564" t="s">
        <v>773</v>
      </c>
      <c r="B109" s="564"/>
      <c r="C109" s="564"/>
      <c r="D109" s="564"/>
      <c r="E109" s="486">
        <v>0</v>
      </c>
      <c r="F109" s="486"/>
      <c r="G109" s="486">
        <v>0</v>
      </c>
      <c r="H109" s="486"/>
      <c r="I109" s="486"/>
      <c r="J109" s="486">
        <v>0</v>
      </c>
      <c r="K109" s="486"/>
      <c r="L109" s="486"/>
      <c r="M109" s="486"/>
      <c r="N109" s="286">
        <v>0</v>
      </c>
    </row>
    <row r="110" spans="1:14" ht="18" customHeight="1">
      <c r="A110" s="564" t="s">
        <v>471</v>
      </c>
      <c r="B110" s="564"/>
      <c r="C110" s="564"/>
      <c r="D110" s="564"/>
      <c r="E110" s="486">
        <v>6000</v>
      </c>
      <c r="F110" s="486"/>
      <c r="G110" s="486">
        <v>5442.88</v>
      </c>
      <c r="H110" s="486"/>
      <c r="I110" s="486"/>
      <c r="J110" s="486">
        <v>5442.88</v>
      </c>
      <c r="K110" s="486"/>
      <c r="L110" s="486"/>
      <c r="M110" s="486"/>
      <c r="N110" s="286">
        <v>557.12</v>
      </c>
    </row>
    <row r="111" spans="1:14" ht="18" customHeight="1">
      <c r="A111" s="564" t="s">
        <v>470</v>
      </c>
      <c r="B111" s="564"/>
      <c r="C111" s="564"/>
      <c r="D111" s="564"/>
      <c r="E111" s="486">
        <v>123562.95</v>
      </c>
      <c r="F111" s="486"/>
      <c r="G111" s="486">
        <v>105177.89</v>
      </c>
      <c r="H111" s="486"/>
      <c r="I111" s="486"/>
      <c r="J111" s="486">
        <v>105177.89</v>
      </c>
      <c r="K111" s="486"/>
      <c r="L111" s="486"/>
      <c r="M111" s="486"/>
      <c r="N111" s="286">
        <v>18385.060000000001</v>
      </c>
    </row>
    <row r="112" spans="1:14" ht="18" customHeight="1">
      <c r="A112" s="564" t="s">
        <v>774</v>
      </c>
      <c r="B112" s="564"/>
      <c r="C112" s="564"/>
      <c r="D112" s="564"/>
      <c r="E112" s="486">
        <v>0</v>
      </c>
      <c r="F112" s="486"/>
      <c r="G112" s="486">
        <v>0</v>
      </c>
      <c r="H112" s="486"/>
      <c r="I112" s="486"/>
      <c r="J112" s="486">
        <v>0</v>
      </c>
      <c r="K112" s="486"/>
      <c r="L112" s="486"/>
      <c r="M112" s="486"/>
      <c r="N112" s="286">
        <v>0</v>
      </c>
    </row>
    <row r="113" spans="1:14" ht="18" customHeight="1">
      <c r="A113" s="567" t="s">
        <v>469</v>
      </c>
      <c r="B113" s="567"/>
      <c r="C113" s="567"/>
      <c r="D113" s="567"/>
      <c r="E113" s="484">
        <v>14490</v>
      </c>
      <c r="F113" s="484"/>
      <c r="G113" s="484">
        <v>13949.03</v>
      </c>
      <c r="H113" s="484"/>
      <c r="I113" s="484"/>
      <c r="J113" s="484">
        <v>13949.03</v>
      </c>
      <c r="K113" s="484"/>
      <c r="L113" s="484"/>
      <c r="M113" s="484"/>
      <c r="N113" s="284">
        <v>540.97</v>
      </c>
    </row>
    <row r="114" spans="1:14" ht="18" customHeight="1">
      <c r="A114" s="564" t="s">
        <v>468</v>
      </c>
      <c r="B114" s="564"/>
      <c r="C114" s="564"/>
      <c r="D114" s="564"/>
      <c r="E114" s="486">
        <v>13810</v>
      </c>
      <c r="F114" s="486"/>
      <c r="G114" s="486">
        <v>13809.6</v>
      </c>
      <c r="H114" s="486"/>
      <c r="I114" s="486"/>
      <c r="J114" s="486">
        <v>13809.6</v>
      </c>
      <c r="K114" s="486"/>
      <c r="L114" s="486"/>
      <c r="M114" s="486"/>
      <c r="N114" s="286">
        <v>0.4</v>
      </c>
    </row>
    <row r="115" spans="1:14" ht="18" customHeight="1">
      <c r="A115" s="564" t="s">
        <v>467</v>
      </c>
      <c r="B115" s="564"/>
      <c r="C115" s="564"/>
      <c r="D115" s="564"/>
      <c r="E115" s="486">
        <v>680</v>
      </c>
      <c r="F115" s="486"/>
      <c r="G115" s="486">
        <v>139.43</v>
      </c>
      <c r="H115" s="486"/>
      <c r="I115" s="486"/>
      <c r="J115" s="486">
        <v>139.43</v>
      </c>
      <c r="K115" s="486"/>
      <c r="L115" s="486"/>
      <c r="M115" s="486"/>
      <c r="N115" s="286">
        <v>540.57000000000005</v>
      </c>
    </row>
    <row r="116" spans="1:14" ht="18" customHeight="1">
      <c r="A116" s="566" t="s">
        <v>466</v>
      </c>
      <c r="B116" s="566"/>
      <c r="C116" s="566"/>
      <c r="D116" s="566"/>
      <c r="E116" s="484">
        <v>176020.8</v>
      </c>
      <c r="F116" s="484"/>
      <c r="G116" s="484">
        <v>165795.92000000001</v>
      </c>
      <c r="H116" s="484"/>
      <c r="I116" s="484"/>
      <c r="J116" s="484">
        <v>165795.92000000001</v>
      </c>
      <c r="K116" s="484"/>
      <c r="L116" s="484"/>
      <c r="M116" s="484"/>
      <c r="N116" s="284">
        <v>10224.879999999999</v>
      </c>
    </row>
    <row r="117" spans="1:14" ht="18" customHeight="1">
      <c r="A117" s="567" t="s">
        <v>466</v>
      </c>
      <c r="B117" s="567"/>
      <c r="C117" s="567"/>
      <c r="D117" s="567"/>
      <c r="E117" s="484">
        <v>176020.8</v>
      </c>
      <c r="F117" s="484"/>
      <c r="G117" s="484">
        <v>165795.92000000001</v>
      </c>
      <c r="H117" s="484"/>
      <c r="I117" s="484"/>
      <c r="J117" s="484">
        <v>165795.92000000001</v>
      </c>
      <c r="K117" s="484"/>
      <c r="L117" s="484"/>
      <c r="M117" s="484"/>
      <c r="N117" s="284">
        <v>10224.879999999999</v>
      </c>
    </row>
    <row r="118" spans="1:14" ht="18" customHeight="1">
      <c r="A118" s="564" t="s">
        <v>465</v>
      </c>
      <c r="B118" s="564"/>
      <c r="C118" s="564"/>
      <c r="D118" s="564"/>
      <c r="E118" s="486">
        <v>89070.95</v>
      </c>
      <c r="F118" s="486"/>
      <c r="G118" s="486">
        <v>89051.68</v>
      </c>
      <c r="H118" s="486"/>
      <c r="I118" s="486"/>
      <c r="J118" s="486">
        <v>89051.68</v>
      </c>
      <c r="K118" s="486"/>
      <c r="L118" s="486"/>
      <c r="M118" s="486"/>
      <c r="N118" s="286">
        <v>19.27</v>
      </c>
    </row>
    <row r="119" spans="1:14" ht="18" customHeight="1">
      <c r="A119" s="564" t="s">
        <v>464</v>
      </c>
      <c r="B119" s="564"/>
      <c r="C119" s="564"/>
      <c r="D119" s="564"/>
      <c r="E119" s="486">
        <v>5000</v>
      </c>
      <c r="F119" s="486"/>
      <c r="G119" s="486">
        <v>0</v>
      </c>
      <c r="H119" s="486"/>
      <c r="I119" s="486"/>
      <c r="J119" s="486">
        <v>0</v>
      </c>
      <c r="K119" s="486"/>
      <c r="L119" s="486"/>
      <c r="M119" s="486"/>
      <c r="N119" s="286">
        <v>5000</v>
      </c>
    </row>
    <row r="120" spans="1:14" ht="18" customHeight="1">
      <c r="A120" s="564" t="s">
        <v>463</v>
      </c>
      <c r="B120" s="564"/>
      <c r="C120" s="564"/>
      <c r="D120" s="564"/>
      <c r="E120" s="486">
        <v>2000</v>
      </c>
      <c r="F120" s="486"/>
      <c r="G120" s="486">
        <v>0</v>
      </c>
      <c r="H120" s="486"/>
      <c r="I120" s="486"/>
      <c r="J120" s="486">
        <v>0</v>
      </c>
      <c r="K120" s="486"/>
      <c r="L120" s="486"/>
      <c r="M120" s="486"/>
      <c r="N120" s="286">
        <v>2000</v>
      </c>
    </row>
    <row r="121" spans="1:14" ht="18" customHeight="1">
      <c r="A121" s="564" t="s">
        <v>462</v>
      </c>
      <c r="B121" s="564"/>
      <c r="C121" s="564"/>
      <c r="D121" s="564"/>
      <c r="E121" s="486">
        <v>79949.850000000006</v>
      </c>
      <c r="F121" s="486"/>
      <c r="G121" s="486">
        <v>76744.240000000005</v>
      </c>
      <c r="H121" s="486"/>
      <c r="I121" s="486"/>
      <c r="J121" s="486">
        <v>76744.240000000005</v>
      </c>
      <c r="K121" s="486"/>
      <c r="L121" s="486"/>
      <c r="M121" s="486"/>
      <c r="N121" s="286">
        <v>3205.61</v>
      </c>
    </row>
    <row r="122" spans="1:14" ht="18" customHeight="1">
      <c r="A122" s="564" t="s">
        <v>775</v>
      </c>
      <c r="B122" s="564"/>
      <c r="C122" s="564"/>
      <c r="D122" s="564"/>
      <c r="E122" s="486">
        <v>0</v>
      </c>
      <c r="F122" s="486"/>
      <c r="G122" s="486">
        <v>0</v>
      </c>
      <c r="H122" s="486"/>
      <c r="I122" s="486"/>
      <c r="J122" s="486">
        <v>0</v>
      </c>
      <c r="K122" s="486"/>
      <c r="L122" s="486"/>
      <c r="M122" s="486"/>
      <c r="N122" s="286">
        <v>0</v>
      </c>
    </row>
    <row r="123" spans="1:14" ht="18" customHeight="1">
      <c r="A123" s="566" t="s">
        <v>776</v>
      </c>
      <c r="B123" s="566"/>
      <c r="C123" s="566"/>
      <c r="D123" s="566"/>
      <c r="E123" s="484">
        <v>0</v>
      </c>
      <c r="F123" s="484"/>
      <c r="G123" s="484">
        <v>0</v>
      </c>
      <c r="H123" s="484"/>
      <c r="I123" s="484"/>
      <c r="J123" s="484">
        <v>0</v>
      </c>
      <c r="K123" s="484"/>
      <c r="L123" s="484"/>
      <c r="M123" s="484"/>
      <c r="N123" s="284">
        <v>0</v>
      </c>
    </row>
    <row r="124" spans="1:14" ht="18" customHeight="1">
      <c r="A124" s="568" t="s">
        <v>777</v>
      </c>
      <c r="B124" s="568"/>
      <c r="C124" s="568"/>
      <c r="D124" s="568"/>
      <c r="E124" s="486">
        <v>0</v>
      </c>
      <c r="F124" s="486"/>
      <c r="G124" s="486">
        <v>0</v>
      </c>
      <c r="H124" s="486"/>
      <c r="I124" s="486"/>
      <c r="J124" s="486">
        <v>0</v>
      </c>
      <c r="K124" s="486"/>
      <c r="L124" s="486"/>
      <c r="M124" s="486"/>
      <c r="N124" s="286">
        <v>0</v>
      </c>
    </row>
    <row r="125" spans="1:14" ht="18" customHeight="1">
      <c r="A125" s="566" t="s">
        <v>461</v>
      </c>
      <c r="B125" s="566"/>
      <c r="C125" s="566"/>
      <c r="D125" s="566"/>
      <c r="E125" s="484">
        <v>451125.06</v>
      </c>
      <c r="F125" s="484"/>
      <c r="G125" s="484">
        <v>447812.7</v>
      </c>
      <c r="H125" s="484"/>
      <c r="I125" s="484"/>
      <c r="J125" s="484">
        <v>447812.7</v>
      </c>
      <c r="K125" s="484"/>
      <c r="L125" s="484"/>
      <c r="M125" s="484"/>
      <c r="N125" s="284">
        <v>3312.36</v>
      </c>
    </row>
    <row r="126" spans="1:14" ht="18" customHeight="1">
      <c r="A126" s="567" t="s">
        <v>460</v>
      </c>
      <c r="B126" s="567"/>
      <c r="C126" s="567"/>
      <c r="D126" s="567"/>
      <c r="E126" s="484">
        <v>75501.399999999994</v>
      </c>
      <c r="F126" s="484"/>
      <c r="G126" s="484">
        <v>75501.399999999994</v>
      </c>
      <c r="H126" s="484"/>
      <c r="I126" s="484"/>
      <c r="J126" s="484">
        <v>75501.399999999994</v>
      </c>
      <c r="K126" s="484"/>
      <c r="L126" s="484"/>
      <c r="M126" s="484"/>
      <c r="N126" s="284">
        <v>0</v>
      </c>
    </row>
    <row r="127" spans="1:14" ht="18" customHeight="1">
      <c r="A127" s="564" t="s">
        <v>459</v>
      </c>
      <c r="B127" s="564"/>
      <c r="C127" s="564"/>
      <c r="D127" s="564"/>
      <c r="E127" s="486">
        <v>75501.399999999994</v>
      </c>
      <c r="F127" s="486"/>
      <c r="G127" s="486">
        <v>75501.399999999994</v>
      </c>
      <c r="H127" s="486"/>
      <c r="I127" s="486"/>
      <c r="J127" s="486">
        <v>75501.399999999994</v>
      </c>
      <c r="K127" s="486"/>
      <c r="L127" s="486"/>
      <c r="M127" s="486"/>
      <c r="N127" s="286">
        <v>0</v>
      </c>
    </row>
    <row r="128" spans="1:14" ht="18" customHeight="1">
      <c r="A128" s="567" t="s">
        <v>458</v>
      </c>
      <c r="B128" s="567"/>
      <c r="C128" s="567"/>
      <c r="D128" s="567"/>
      <c r="E128" s="484">
        <v>103143.53</v>
      </c>
      <c r="F128" s="484"/>
      <c r="G128" s="484">
        <v>99831.18</v>
      </c>
      <c r="H128" s="484"/>
      <c r="I128" s="484"/>
      <c r="J128" s="484">
        <v>99831.18</v>
      </c>
      <c r="K128" s="484"/>
      <c r="L128" s="484"/>
      <c r="M128" s="484"/>
      <c r="N128" s="284">
        <v>3312.35</v>
      </c>
    </row>
    <row r="129" spans="1:14" ht="18" customHeight="1">
      <c r="A129" s="564" t="s">
        <v>778</v>
      </c>
      <c r="B129" s="564"/>
      <c r="C129" s="564"/>
      <c r="D129" s="564"/>
      <c r="E129" s="486">
        <v>0</v>
      </c>
      <c r="F129" s="486"/>
      <c r="G129" s="486">
        <v>0</v>
      </c>
      <c r="H129" s="486"/>
      <c r="I129" s="486"/>
      <c r="J129" s="486">
        <v>0</v>
      </c>
      <c r="K129" s="486"/>
      <c r="L129" s="486"/>
      <c r="M129" s="486"/>
      <c r="N129" s="286">
        <v>0</v>
      </c>
    </row>
    <row r="130" spans="1:14" ht="18" customHeight="1">
      <c r="A130" s="564" t="s">
        <v>457</v>
      </c>
      <c r="B130" s="564"/>
      <c r="C130" s="564"/>
      <c r="D130" s="564"/>
      <c r="E130" s="486">
        <v>103143.53</v>
      </c>
      <c r="F130" s="486"/>
      <c r="G130" s="486">
        <v>99831.18</v>
      </c>
      <c r="H130" s="486"/>
      <c r="I130" s="486"/>
      <c r="J130" s="486">
        <v>99831.18</v>
      </c>
      <c r="K130" s="486"/>
      <c r="L130" s="486"/>
      <c r="M130" s="486"/>
      <c r="N130" s="286">
        <v>3312.35</v>
      </c>
    </row>
    <row r="131" spans="1:14" ht="18" customHeight="1">
      <c r="A131" s="567" t="s">
        <v>456</v>
      </c>
      <c r="B131" s="567"/>
      <c r="C131" s="567"/>
      <c r="D131" s="567"/>
      <c r="E131" s="484">
        <v>272480.13</v>
      </c>
      <c r="F131" s="484"/>
      <c r="G131" s="484">
        <v>272480.12</v>
      </c>
      <c r="H131" s="484"/>
      <c r="I131" s="484"/>
      <c r="J131" s="484">
        <v>272480.12</v>
      </c>
      <c r="K131" s="484"/>
      <c r="L131" s="484"/>
      <c r="M131" s="484"/>
      <c r="N131" s="284">
        <v>0.01</v>
      </c>
    </row>
    <row r="132" spans="1:14" ht="18" customHeight="1">
      <c r="A132" s="564" t="s">
        <v>455</v>
      </c>
      <c r="B132" s="564"/>
      <c r="C132" s="564"/>
      <c r="D132" s="564"/>
      <c r="E132" s="486">
        <v>272480.13</v>
      </c>
      <c r="F132" s="486"/>
      <c r="G132" s="486">
        <v>272480.12</v>
      </c>
      <c r="H132" s="486"/>
      <c r="I132" s="486"/>
      <c r="J132" s="486">
        <v>272480.12</v>
      </c>
      <c r="K132" s="486"/>
      <c r="L132" s="486"/>
      <c r="M132" s="486"/>
      <c r="N132" s="286">
        <v>0.01</v>
      </c>
    </row>
    <row r="133" spans="1:14" ht="18" customHeight="1">
      <c r="A133" s="565" t="s">
        <v>454</v>
      </c>
      <c r="B133" s="565"/>
      <c r="C133" s="565"/>
      <c r="D133" s="565"/>
      <c r="E133" s="484">
        <v>326494.56</v>
      </c>
      <c r="F133" s="484"/>
      <c r="G133" s="484">
        <v>114758.08</v>
      </c>
      <c r="H133" s="484"/>
      <c r="I133" s="484"/>
      <c r="J133" s="484">
        <v>114758.08</v>
      </c>
      <c r="K133" s="484"/>
      <c r="L133" s="484"/>
      <c r="M133" s="484"/>
      <c r="N133" s="284">
        <v>211736.48</v>
      </c>
    </row>
    <row r="134" spans="1:14" ht="18" customHeight="1">
      <c r="A134" s="566" t="s">
        <v>453</v>
      </c>
      <c r="B134" s="566"/>
      <c r="C134" s="566"/>
      <c r="D134" s="566"/>
      <c r="E134" s="484">
        <v>326494.56</v>
      </c>
      <c r="F134" s="484"/>
      <c r="G134" s="484">
        <v>114758.08</v>
      </c>
      <c r="H134" s="484"/>
      <c r="I134" s="484"/>
      <c r="J134" s="484">
        <v>114758.08</v>
      </c>
      <c r="K134" s="484"/>
      <c r="L134" s="484"/>
      <c r="M134" s="484"/>
      <c r="N134" s="284">
        <v>211736.48</v>
      </c>
    </row>
    <row r="135" spans="1:14" ht="18" customHeight="1">
      <c r="A135" s="567" t="s">
        <v>452</v>
      </c>
      <c r="B135" s="567"/>
      <c r="C135" s="567"/>
      <c r="D135" s="567"/>
      <c r="E135" s="484">
        <v>200000</v>
      </c>
      <c r="F135" s="484"/>
      <c r="G135" s="484">
        <v>11880</v>
      </c>
      <c r="H135" s="484"/>
      <c r="I135" s="484"/>
      <c r="J135" s="484">
        <v>11880</v>
      </c>
      <c r="K135" s="484"/>
      <c r="L135" s="484"/>
      <c r="M135" s="484"/>
      <c r="N135" s="284">
        <v>188120</v>
      </c>
    </row>
    <row r="136" spans="1:14" ht="18" customHeight="1">
      <c r="A136" s="564" t="s">
        <v>779</v>
      </c>
      <c r="B136" s="564"/>
      <c r="C136" s="564"/>
      <c r="D136" s="564"/>
      <c r="E136" s="486">
        <v>0</v>
      </c>
      <c r="F136" s="486"/>
      <c r="G136" s="486">
        <v>0</v>
      </c>
      <c r="H136" s="486"/>
      <c r="I136" s="486"/>
      <c r="J136" s="486">
        <v>0</v>
      </c>
      <c r="K136" s="486"/>
      <c r="L136" s="486"/>
      <c r="M136" s="486"/>
      <c r="N136" s="286">
        <v>0</v>
      </c>
    </row>
    <row r="137" spans="1:14" ht="18" customHeight="1">
      <c r="A137" s="564" t="s">
        <v>451</v>
      </c>
      <c r="B137" s="564"/>
      <c r="C137" s="564"/>
      <c r="D137" s="564"/>
      <c r="E137" s="486">
        <v>200000</v>
      </c>
      <c r="F137" s="486"/>
      <c r="G137" s="486">
        <v>11880</v>
      </c>
      <c r="H137" s="486"/>
      <c r="I137" s="486"/>
      <c r="J137" s="486">
        <v>11880</v>
      </c>
      <c r="K137" s="486"/>
      <c r="L137" s="486"/>
      <c r="M137" s="486"/>
      <c r="N137" s="286">
        <v>188120</v>
      </c>
    </row>
    <row r="138" spans="1:14" ht="18" customHeight="1">
      <c r="A138" s="567" t="s">
        <v>780</v>
      </c>
      <c r="B138" s="567"/>
      <c r="C138" s="567"/>
      <c r="D138" s="567"/>
      <c r="E138" s="484">
        <v>0</v>
      </c>
      <c r="F138" s="484"/>
      <c r="G138" s="484">
        <v>0</v>
      </c>
      <c r="H138" s="484"/>
      <c r="I138" s="484"/>
      <c r="J138" s="484">
        <v>0</v>
      </c>
      <c r="K138" s="484"/>
      <c r="L138" s="484"/>
      <c r="M138" s="484"/>
      <c r="N138" s="284">
        <v>0</v>
      </c>
    </row>
    <row r="139" spans="1:14" ht="18" customHeight="1">
      <c r="A139" s="564" t="s">
        <v>781</v>
      </c>
      <c r="B139" s="564"/>
      <c r="C139" s="564"/>
      <c r="D139" s="564"/>
      <c r="E139" s="486">
        <v>0</v>
      </c>
      <c r="F139" s="486"/>
      <c r="G139" s="486">
        <v>0</v>
      </c>
      <c r="H139" s="486"/>
      <c r="I139" s="486"/>
      <c r="J139" s="486">
        <v>0</v>
      </c>
      <c r="K139" s="486"/>
      <c r="L139" s="486"/>
      <c r="M139" s="486"/>
      <c r="N139" s="286">
        <v>0</v>
      </c>
    </row>
    <row r="140" spans="1:14" ht="18" customHeight="1">
      <c r="A140" s="567" t="s">
        <v>450</v>
      </c>
      <c r="B140" s="567"/>
      <c r="C140" s="567"/>
      <c r="D140" s="567"/>
      <c r="E140" s="484">
        <v>126494.56</v>
      </c>
      <c r="F140" s="484"/>
      <c r="G140" s="484">
        <v>102878.08</v>
      </c>
      <c r="H140" s="484"/>
      <c r="I140" s="484"/>
      <c r="J140" s="484">
        <v>102878.08</v>
      </c>
      <c r="K140" s="484"/>
      <c r="L140" s="484"/>
      <c r="M140" s="484"/>
      <c r="N140" s="284">
        <v>23616.48</v>
      </c>
    </row>
    <row r="141" spans="1:14" ht="18" customHeight="1">
      <c r="A141" s="564" t="s">
        <v>782</v>
      </c>
      <c r="B141" s="564"/>
      <c r="C141" s="564"/>
      <c r="D141" s="564"/>
      <c r="E141" s="486">
        <v>0</v>
      </c>
      <c r="F141" s="486"/>
      <c r="G141" s="486">
        <v>0</v>
      </c>
      <c r="H141" s="486"/>
      <c r="I141" s="486"/>
      <c r="J141" s="486">
        <v>0</v>
      </c>
      <c r="K141" s="486"/>
      <c r="L141" s="486"/>
      <c r="M141" s="486"/>
      <c r="N141" s="286">
        <v>0</v>
      </c>
    </row>
    <row r="142" spans="1:14" ht="18" customHeight="1">
      <c r="A142" s="564" t="s">
        <v>449</v>
      </c>
      <c r="B142" s="564"/>
      <c r="C142" s="564"/>
      <c r="D142" s="564"/>
      <c r="E142" s="486">
        <v>17000</v>
      </c>
      <c r="F142" s="486"/>
      <c r="G142" s="486">
        <v>0</v>
      </c>
      <c r="H142" s="486"/>
      <c r="I142" s="486"/>
      <c r="J142" s="486">
        <v>0</v>
      </c>
      <c r="K142" s="486"/>
      <c r="L142" s="486"/>
      <c r="M142" s="486"/>
      <c r="N142" s="286">
        <v>17000</v>
      </c>
    </row>
    <row r="143" spans="1:14" ht="18" customHeight="1">
      <c r="A143" s="564" t="s">
        <v>711</v>
      </c>
      <c r="B143" s="564"/>
      <c r="C143" s="564"/>
      <c r="D143" s="564"/>
      <c r="E143" s="486">
        <v>0</v>
      </c>
      <c r="F143" s="486"/>
      <c r="G143" s="486">
        <v>0</v>
      </c>
      <c r="H143" s="486"/>
      <c r="I143" s="486"/>
      <c r="J143" s="486">
        <v>0</v>
      </c>
      <c r="K143" s="486"/>
      <c r="L143" s="486"/>
      <c r="M143" s="486"/>
      <c r="N143" s="286">
        <v>0</v>
      </c>
    </row>
    <row r="144" spans="1:14" ht="18" customHeight="1">
      <c r="A144" s="564" t="s">
        <v>712</v>
      </c>
      <c r="B144" s="564"/>
      <c r="C144" s="564"/>
      <c r="D144" s="564"/>
      <c r="E144" s="486">
        <v>0</v>
      </c>
      <c r="F144" s="486"/>
      <c r="G144" s="486">
        <v>0</v>
      </c>
      <c r="H144" s="486"/>
      <c r="I144" s="486"/>
      <c r="J144" s="486">
        <v>0</v>
      </c>
      <c r="K144" s="486"/>
      <c r="L144" s="486"/>
      <c r="M144" s="486"/>
      <c r="N144" s="286">
        <v>0</v>
      </c>
    </row>
    <row r="145" spans="1:14" ht="18" customHeight="1">
      <c r="A145" s="564" t="s">
        <v>713</v>
      </c>
      <c r="B145" s="564"/>
      <c r="C145" s="564"/>
      <c r="D145" s="564"/>
      <c r="E145" s="486">
        <v>0</v>
      </c>
      <c r="F145" s="486"/>
      <c r="G145" s="486">
        <v>0</v>
      </c>
      <c r="H145" s="486"/>
      <c r="I145" s="486"/>
      <c r="J145" s="486">
        <v>0</v>
      </c>
      <c r="K145" s="486"/>
      <c r="L145" s="486"/>
      <c r="M145" s="486"/>
      <c r="N145" s="286">
        <v>0</v>
      </c>
    </row>
    <row r="146" spans="1:14" ht="22.5" customHeight="1">
      <c r="A146" s="564" t="s">
        <v>448</v>
      </c>
      <c r="B146" s="564"/>
      <c r="C146" s="564"/>
      <c r="D146" s="564"/>
      <c r="E146" s="486">
        <v>103000</v>
      </c>
      <c r="F146" s="486"/>
      <c r="G146" s="486">
        <v>102878.08</v>
      </c>
      <c r="H146" s="486"/>
      <c r="I146" s="486"/>
      <c r="J146" s="486">
        <v>102878.08</v>
      </c>
      <c r="K146" s="486"/>
      <c r="L146" s="486"/>
      <c r="M146" s="486"/>
      <c r="N146" s="286">
        <v>121.92</v>
      </c>
    </row>
    <row r="147" spans="1:14" ht="18" customHeight="1">
      <c r="A147" s="564" t="s">
        <v>447</v>
      </c>
      <c r="B147" s="564"/>
      <c r="C147" s="564"/>
      <c r="D147" s="564"/>
      <c r="E147" s="486">
        <v>6494.56</v>
      </c>
      <c r="F147" s="486"/>
      <c r="G147" s="486">
        <v>0</v>
      </c>
      <c r="H147" s="486"/>
      <c r="I147" s="486"/>
      <c r="J147" s="486">
        <v>0</v>
      </c>
      <c r="K147" s="486"/>
      <c r="L147" s="486"/>
      <c r="M147" s="486"/>
      <c r="N147" s="286">
        <v>6494.56</v>
      </c>
    </row>
    <row r="148" spans="1:14" ht="18" customHeight="1">
      <c r="A148" s="564" t="s">
        <v>714</v>
      </c>
      <c r="B148" s="564"/>
      <c r="C148" s="564"/>
      <c r="D148" s="564"/>
      <c r="E148" s="486">
        <v>0</v>
      </c>
      <c r="F148" s="486"/>
      <c r="G148" s="486">
        <v>0</v>
      </c>
      <c r="H148" s="486"/>
      <c r="I148" s="486"/>
      <c r="J148" s="486">
        <v>0</v>
      </c>
      <c r="K148" s="486"/>
      <c r="L148" s="486"/>
      <c r="M148" s="486"/>
      <c r="N148" s="286">
        <v>0</v>
      </c>
    </row>
    <row r="149" spans="1:14" ht="18" customHeight="1">
      <c r="A149" s="564" t="s">
        <v>715</v>
      </c>
      <c r="B149" s="564"/>
      <c r="C149" s="564"/>
      <c r="D149" s="564"/>
      <c r="E149" s="486">
        <v>0</v>
      </c>
      <c r="F149" s="486"/>
      <c r="G149" s="486">
        <v>0</v>
      </c>
      <c r="H149" s="486"/>
      <c r="I149" s="486"/>
      <c r="J149" s="486">
        <v>0</v>
      </c>
      <c r="K149" s="486"/>
      <c r="L149" s="486"/>
      <c r="M149" s="486"/>
      <c r="N149" s="286">
        <v>0</v>
      </c>
    </row>
    <row r="150" spans="1:14" ht="18" customHeight="1">
      <c r="A150" s="567" t="s">
        <v>783</v>
      </c>
      <c r="B150" s="567"/>
      <c r="C150" s="567"/>
      <c r="D150" s="567"/>
      <c r="E150" s="484">
        <v>0</v>
      </c>
      <c r="F150" s="484"/>
      <c r="G150" s="484">
        <v>0</v>
      </c>
      <c r="H150" s="484"/>
      <c r="I150" s="484"/>
      <c r="J150" s="484">
        <v>0</v>
      </c>
      <c r="K150" s="484"/>
      <c r="L150" s="484"/>
      <c r="M150" s="484"/>
      <c r="N150" s="284">
        <v>0</v>
      </c>
    </row>
    <row r="151" spans="1:14" ht="18" customHeight="1">
      <c r="A151" s="564" t="s">
        <v>717</v>
      </c>
      <c r="B151" s="564"/>
      <c r="C151" s="564"/>
      <c r="D151" s="564"/>
      <c r="E151" s="486">
        <v>0</v>
      </c>
      <c r="F151" s="486"/>
      <c r="G151" s="486">
        <v>0</v>
      </c>
      <c r="H151" s="486"/>
      <c r="I151" s="486"/>
      <c r="J151" s="486">
        <v>0</v>
      </c>
      <c r="K151" s="486"/>
      <c r="L151" s="486"/>
      <c r="M151" s="486"/>
      <c r="N151" s="286">
        <v>0</v>
      </c>
    </row>
    <row r="152" spans="1:14" ht="18" customHeight="1">
      <c r="A152" s="564" t="s">
        <v>719</v>
      </c>
      <c r="B152" s="564"/>
      <c r="C152" s="564"/>
      <c r="D152" s="564"/>
      <c r="E152" s="486">
        <v>0</v>
      </c>
      <c r="F152" s="486"/>
      <c r="G152" s="486">
        <v>0</v>
      </c>
      <c r="H152" s="486"/>
      <c r="I152" s="486"/>
      <c r="J152" s="486">
        <v>0</v>
      </c>
      <c r="K152" s="486"/>
      <c r="L152" s="486"/>
      <c r="M152" s="486"/>
      <c r="N152" s="286">
        <v>0</v>
      </c>
    </row>
    <row r="153" spans="1:14" ht="18" customHeight="1">
      <c r="A153" s="564" t="s">
        <v>718</v>
      </c>
      <c r="B153" s="564"/>
      <c r="C153" s="564"/>
      <c r="D153" s="564"/>
      <c r="E153" s="486">
        <v>0</v>
      </c>
      <c r="F153" s="486"/>
      <c r="G153" s="486">
        <v>0</v>
      </c>
      <c r="H153" s="486"/>
      <c r="I153" s="486"/>
      <c r="J153" s="486">
        <v>0</v>
      </c>
      <c r="K153" s="486"/>
      <c r="L153" s="486"/>
      <c r="M153" s="486"/>
      <c r="N153" s="286">
        <v>0</v>
      </c>
    </row>
    <row r="154" spans="1:14" ht="18" customHeight="1">
      <c r="A154" s="567" t="s">
        <v>784</v>
      </c>
      <c r="B154" s="567"/>
      <c r="C154" s="567"/>
      <c r="D154" s="567"/>
      <c r="E154" s="484">
        <v>0</v>
      </c>
      <c r="F154" s="484"/>
      <c r="G154" s="484">
        <v>0</v>
      </c>
      <c r="H154" s="484"/>
      <c r="I154" s="484"/>
      <c r="J154" s="484">
        <v>0</v>
      </c>
      <c r="K154" s="484"/>
      <c r="L154" s="484"/>
      <c r="M154" s="484"/>
      <c r="N154" s="284">
        <v>0</v>
      </c>
    </row>
    <row r="155" spans="1:14" ht="18" customHeight="1">
      <c r="A155" s="564" t="s">
        <v>785</v>
      </c>
      <c r="B155" s="564"/>
      <c r="C155" s="564"/>
      <c r="D155" s="564"/>
      <c r="E155" s="486">
        <v>0</v>
      </c>
      <c r="F155" s="486"/>
      <c r="G155" s="486">
        <v>0</v>
      </c>
      <c r="H155" s="486"/>
      <c r="I155" s="486"/>
      <c r="J155" s="486">
        <v>0</v>
      </c>
      <c r="K155" s="486"/>
      <c r="L155" s="486"/>
      <c r="M155" s="486"/>
      <c r="N155" s="286">
        <v>0</v>
      </c>
    </row>
    <row r="156" spans="1:14" ht="18" customHeight="1">
      <c r="A156" s="566" t="s">
        <v>786</v>
      </c>
      <c r="B156" s="566"/>
      <c r="C156" s="566"/>
      <c r="D156" s="566"/>
      <c r="E156" s="484">
        <v>0</v>
      </c>
      <c r="F156" s="484"/>
      <c r="G156" s="484">
        <v>0</v>
      </c>
      <c r="H156" s="484"/>
      <c r="I156" s="484"/>
      <c r="J156" s="484">
        <v>0</v>
      </c>
      <c r="K156" s="484"/>
      <c r="L156" s="484"/>
      <c r="M156" s="484"/>
      <c r="N156" s="284">
        <v>0</v>
      </c>
    </row>
    <row r="157" spans="1:14" ht="18" customHeight="1">
      <c r="A157" s="567" t="s">
        <v>780</v>
      </c>
      <c r="B157" s="567"/>
      <c r="C157" s="567"/>
      <c r="D157" s="567"/>
      <c r="E157" s="484">
        <v>0</v>
      </c>
      <c r="F157" s="484"/>
      <c r="G157" s="484">
        <v>0</v>
      </c>
      <c r="H157" s="484"/>
      <c r="I157" s="484"/>
      <c r="J157" s="484">
        <v>0</v>
      </c>
      <c r="K157" s="484"/>
      <c r="L157" s="484"/>
      <c r="M157" s="484"/>
      <c r="N157" s="284">
        <v>0</v>
      </c>
    </row>
    <row r="158" spans="1:14" ht="18" customHeight="1">
      <c r="A158" s="564" t="s">
        <v>781</v>
      </c>
      <c r="B158" s="564"/>
      <c r="C158" s="564"/>
      <c r="D158" s="564"/>
      <c r="E158" s="486">
        <v>0</v>
      </c>
      <c r="F158" s="486"/>
      <c r="G158" s="486">
        <v>0</v>
      </c>
      <c r="H158" s="486"/>
      <c r="I158" s="486"/>
      <c r="J158" s="486">
        <v>0</v>
      </c>
      <c r="K158" s="486"/>
      <c r="L158" s="486"/>
      <c r="M158" s="486"/>
      <c r="N158" s="286">
        <v>0</v>
      </c>
    </row>
    <row r="159" spans="1:14" ht="18" customHeight="1">
      <c r="A159" s="567" t="s">
        <v>450</v>
      </c>
      <c r="B159" s="567"/>
      <c r="C159" s="567"/>
      <c r="D159" s="567"/>
      <c r="E159" s="484">
        <v>0</v>
      </c>
      <c r="F159" s="484"/>
      <c r="G159" s="484">
        <v>0</v>
      </c>
      <c r="H159" s="484"/>
      <c r="I159" s="484"/>
      <c r="J159" s="484">
        <v>0</v>
      </c>
      <c r="K159" s="484"/>
      <c r="L159" s="484"/>
      <c r="M159" s="484"/>
      <c r="N159" s="284">
        <v>0</v>
      </c>
    </row>
    <row r="160" spans="1:14" ht="18" customHeight="1">
      <c r="A160" s="564" t="s">
        <v>782</v>
      </c>
      <c r="B160" s="564"/>
      <c r="C160" s="564"/>
      <c r="D160" s="564"/>
      <c r="E160" s="486">
        <v>0</v>
      </c>
      <c r="F160" s="486"/>
      <c r="G160" s="486">
        <v>0</v>
      </c>
      <c r="H160" s="486"/>
      <c r="I160" s="486"/>
      <c r="J160" s="486">
        <v>0</v>
      </c>
      <c r="K160" s="486"/>
      <c r="L160" s="486"/>
      <c r="M160" s="486"/>
      <c r="N160" s="286">
        <v>0</v>
      </c>
    </row>
    <row r="161" spans="1:14" ht="18" customHeight="1">
      <c r="A161" s="564" t="s">
        <v>449</v>
      </c>
      <c r="B161" s="564"/>
      <c r="C161" s="564"/>
      <c r="D161" s="564"/>
      <c r="E161" s="486">
        <v>0</v>
      </c>
      <c r="F161" s="486"/>
      <c r="G161" s="486">
        <v>0</v>
      </c>
      <c r="H161" s="486"/>
      <c r="I161" s="486"/>
      <c r="J161" s="486">
        <v>0</v>
      </c>
      <c r="K161" s="486"/>
      <c r="L161" s="486"/>
      <c r="M161" s="486"/>
      <c r="N161" s="286">
        <v>0</v>
      </c>
    </row>
    <row r="162" spans="1:14" ht="18" customHeight="1">
      <c r="A162" s="564" t="s">
        <v>711</v>
      </c>
      <c r="B162" s="564"/>
      <c r="C162" s="564"/>
      <c r="D162" s="564"/>
      <c r="E162" s="486">
        <v>0</v>
      </c>
      <c r="F162" s="486"/>
      <c r="G162" s="486">
        <v>0</v>
      </c>
      <c r="H162" s="486"/>
      <c r="I162" s="486"/>
      <c r="J162" s="486">
        <v>0</v>
      </c>
      <c r="K162" s="486"/>
      <c r="L162" s="486"/>
      <c r="M162" s="486"/>
      <c r="N162" s="286">
        <v>0</v>
      </c>
    </row>
    <row r="163" spans="1:14" ht="18" customHeight="1">
      <c r="A163" s="564" t="s">
        <v>712</v>
      </c>
      <c r="B163" s="564"/>
      <c r="C163" s="564"/>
      <c r="D163" s="564"/>
      <c r="E163" s="486">
        <v>0</v>
      </c>
      <c r="F163" s="486"/>
      <c r="G163" s="486">
        <v>0</v>
      </c>
      <c r="H163" s="486"/>
      <c r="I163" s="486"/>
      <c r="J163" s="486">
        <v>0</v>
      </c>
      <c r="K163" s="486"/>
      <c r="L163" s="486"/>
      <c r="M163" s="486"/>
      <c r="N163" s="286">
        <v>0</v>
      </c>
    </row>
    <row r="164" spans="1:14" ht="18" customHeight="1">
      <c r="A164" s="564" t="s">
        <v>713</v>
      </c>
      <c r="B164" s="564"/>
      <c r="C164" s="564"/>
      <c r="D164" s="564"/>
      <c r="E164" s="486">
        <v>0</v>
      </c>
      <c r="F164" s="486"/>
      <c r="G164" s="486">
        <v>0</v>
      </c>
      <c r="H164" s="486"/>
      <c r="I164" s="486"/>
      <c r="J164" s="486">
        <v>0</v>
      </c>
      <c r="K164" s="486"/>
      <c r="L164" s="486"/>
      <c r="M164" s="486"/>
      <c r="N164" s="286">
        <v>0</v>
      </c>
    </row>
    <row r="165" spans="1:14" ht="22.5" customHeight="1">
      <c r="A165" s="564" t="s">
        <v>448</v>
      </c>
      <c r="B165" s="564"/>
      <c r="C165" s="564"/>
      <c r="D165" s="564"/>
      <c r="E165" s="486">
        <v>0</v>
      </c>
      <c r="F165" s="486"/>
      <c r="G165" s="486">
        <v>0</v>
      </c>
      <c r="H165" s="486"/>
      <c r="I165" s="486"/>
      <c r="J165" s="486">
        <v>0</v>
      </c>
      <c r="K165" s="486"/>
      <c r="L165" s="486"/>
      <c r="M165" s="486"/>
      <c r="N165" s="286">
        <v>0</v>
      </c>
    </row>
    <row r="166" spans="1:14" ht="18" customHeight="1">
      <c r="A166" s="564" t="s">
        <v>447</v>
      </c>
      <c r="B166" s="564"/>
      <c r="C166" s="564"/>
      <c r="D166" s="564"/>
      <c r="E166" s="486">
        <v>0</v>
      </c>
      <c r="F166" s="486"/>
      <c r="G166" s="486">
        <v>0</v>
      </c>
      <c r="H166" s="486"/>
      <c r="I166" s="486"/>
      <c r="J166" s="486">
        <v>0</v>
      </c>
      <c r="K166" s="486"/>
      <c r="L166" s="486"/>
      <c r="M166" s="486"/>
      <c r="N166" s="286">
        <v>0</v>
      </c>
    </row>
    <row r="167" spans="1:14" ht="18" customHeight="1">
      <c r="A167" s="564" t="s">
        <v>714</v>
      </c>
      <c r="B167" s="564"/>
      <c r="C167" s="564"/>
      <c r="D167" s="564"/>
      <c r="E167" s="486">
        <v>0</v>
      </c>
      <c r="F167" s="486"/>
      <c r="G167" s="486">
        <v>0</v>
      </c>
      <c r="H167" s="486"/>
      <c r="I167" s="486"/>
      <c r="J167" s="486">
        <v>0</v>
      </c>
      <c r="K167" s="486"/>
      <c r="L167" s="486"/>
      <c r="M167" s="486"/>
      <c r="N167" s="286">
        <v>0</v>
      </c>
    </row>
    <row r="168" spans="1:14" ht="18" customHeight="1">
      <c r="A168" s="564" t="s">
        <v>715</v>
      </c>
      <c r="B168" s="564"/>
      <c r="C168" s="564"/>
      <c r="D168" s="564"/>
      <c r="E168" s="486">
        <v>0</v>
      </c>
      <c r="F168" s="486"/>
      <c r="G168" s="486">
        <v>0</v>
      </c>
      <c r="H168" s="486"/>
      <c r="I168" s="486"/>
      <c r="J168" s="486">
        <v>0</v>
      </c>
      <c r="K168" s="486"/>
      <c r="L168" s="486"/>
      <c r="M168" s="486"/>
      <c r="N168" s="286">
        <v>0</v>
      </c>
    </row>
    <row r="169" spans="1:14" ht="18" customHeight="1">
      <c r="A169" s="567" t="s">
        <v>783</v>
      </c>
      <c r="B169" s="567"/>
      <c r="C169" s="567"/>
      <c r="D169" s="567"/>
      <c r="E169" s="484">
        <v>0</v>
      </c>
      <c r="F169" s="484"/>
      <c r="G169" s="484">
        <v>0</v>
      </c>
      <c r="H169" s="484"/>
      <c r="I169" s="484"/>
      <c r="J169" s="484">
        <v>0</v>
      </c>
      <c r="K169" s="484"/>
      <c r="L169" s="484"/>
      <c r="M169" s="484"/>
      <c r="N169" s="284">
        <v>0</v>
      </c>
    </row>
    <row r="170" spans="1:14" ht="18" customHeight="1">
      <c r="A170" s="564" t="s">
        <v>717</v>
      </c>
      <c r="B170" s="564"/>
      <c r="C170" s="564"/>
      <c r="D170" s="564"/>
      <c r="E170" s="486">
        <v>0</v>
      </c>
      <c r="F170" s="486"/>
      <c r="G170" s="486">
        <v>0</v>
      </c>
      <c r="H170" s="486"/>
      <c r="I170" s="486"/>
      <c r="J170" s="486">
        <v>0</v>
      </c>
      <c r="K170" s="486"/>
      <c r="L170" s="486"/>
      <c r="M170" s="486"/>
      <c r="N170" s="286">
        <v>0</v>
      </c>
    </row>
    <row r="171" spans="1:14" ht="18" customHeight="1">
      <c r="A171" s="564" t="s">
        <v>719</v>
      </c>
      <c r="B171" s="564"/>
      <c r="C171" s="564"/>
      <c r="D171" s="564"/>
      <c r="E171" s="486">
        <v>0</v>
      </c>
      <c r="F171" s="486"/>
      <c r="G171" s="486">
        <v>0</v>
      </c>
      <c r="H171" s="486"/>
      <c r="I171" s="486"/>
      <c r="J171" s="486">
        <v>0</v>
      </c>
      <c r="K171" s="486"/>
      <c r="L171" s="486"/>
      <c r="M171" s="486"/>
      <c r="N171" s="286">
        <v>0</v>
      </c>
    </row>
    <row r="172" spans="1:14" ht="18" customHeight="1">
      <c r="A172" s="564" t="s">
        <v>718</v>
      </c>
      <c r="B172" s="564"/>
      <c r="C172" s="564"/>
      <c r="D172" s="564"/>
      <c r="E172" s="486">
        <v>0</v>
      </c>
      <c r="F172" s="486"/>
      <c r="G172" s="486">
        <v>0</v>
      </c>
      <c r="H172" s="486"/>
      <c r="I172" s="486"/>
      <c r="J172" s="486">
        <v>0</v>
      </c>
      <c r="K172" s="486"/>
      <c r="L172" s="486"/>
      <c r="M172" s="486"/>
      <c r="N172" s="286">
        <v>0</v>
      </c>
    </row>
    <row r="173" spans="1:14" ht="18" customHeight="1">
      <c r="A173" s="567" t="s">
        <v>784</v>
      </c>
      <c r="B173" s="567"/>
      <c r="C173" s="567"/>
      <c r="D173" s="567"/>
      <c r="E173" s="484">
        <v>0</v>
      </c>
      <c r="F173" s="484"/>
      <c r="G173" s="484">
        <v>0</v>
      </c>
      <c r="H173" s="484"/>
      <c r="I173" s="484"/>
      <c r="J173" s="484">
        <v>0</v>
      </c>
      <c r="K173" s="484"/>
      <c r="L173" s="484"/>
      <c r="M173" s="484"/>
      <c r="N173" s="284">
        <v>0</v>
      </c>
    </row>
    <row r="174" spans="1:14" ht="18" customHeight="1">
      <c r="A174" s="564" t="s">
        <v>785</v>
      </c>
      <c r="B174" s="564"/>
      <c r="C174" s="564"/>
      <c r="D174" s="564"/>
      <c r="E174" s="486">
        <v>0</v>
      </c>
      <c r="F174" s="486"/>
      <c r="G174" s="486">
        <v>0</v>
      </c>
      <c r="H174" s="486"/>
      <c r="I174" s="486"/>
      <c r="J174" s="486">
        <v>0</v>
      </c>
      <c r="K174" s="486"/>
      <c r="L174" s="486"/>
      <c r="M174" s="486"/>
      <c r="N174" s="286">
        <v>0</v>
      </c>
    </row>
    <row r="175" spans="1:14" ht="18" customHeight="1">
      <c r="A175" s="566" t="s">
        <v>787</v>
      </c>
      <c r="B175" s="566"/>
      <c r="C175" s="566"/>
      <c r="D175" s="566"/>
      <c r="E175" s="484">
        <v>0</v>
      </c>
      <c r="F175" s="484"/>
      <c r="G175" s="484">
        <v>0</v>
      </c>
      <c r="H175" s="484"/>
      <c r="I175" s="484"/>
      <c r="J175" s="484">
        <v>0</v>
      </c>
      <c r="K175" s="484"/>
      <c r="L175" s="484"/>
      <c r="M175" s="484"/>
      <c r="N175" s="284">
        <v>0</v>
      </c>
    </row>
    <row r="176" spans="1:14" ht="18" customHeight="1">
      <c r="A176" s="567" t="s">
        <v>788</v>
      </c>
      <c r="B176" s="567"/>
      <c r="C176" s="567"/>
      <c r="D176" s="567"/>
      <c r="E176" s="484">
        <v>0</v>
      </c>
      <c r="F176" s="484"/>
      <c r="G176" s="484">
        <v>0</v>
      </c>
      <c r="H176" s="484"/>
      <c r="I176" s="484"/>
      <c r="J176" s="484">
        <v>0</v>
      </c>
      <c r="K176" s="484"/>
      <c r="L176" s="484"/>
      <c r="M176" s="484"/>
      <c r="N176" s="284">
        <v>0</v>
      </c>
    </row>
    <row r="177" spans="1:14" ht="18" customHeight="1">
      <c r="A177" s="564" t="s">
        <v>789</v>
      </c>
      <c r="B177" s="564"/>
      <c r="C177" s="564"/>
      <c r="D177" s="564"/>
      <c r="E177" s="486">
        <v>0</v>
      </c>
      <c r="F177" s="486"/>
      <c r="G177" s="486">
        <v>0</v>
      </c>
      <c r="H177" s="486"/>
      <c r="I177" s="486"/>
      <c r="J177" s="486">
        <v>0</v>
      </c>
      <c r="K177" s="486"/>
      <c r="L177" s="486"/>
      <c r="M177" s="486"/>
      <c r="N177" s="286">
        <v>0</v>
      </c>
    </row>
    <row r="178" spans="1:14" ht="21.75" customHeight="1">
      <c r="A178" s="564" t="s">
        <v>790</v>
      </c>
      <c r="B178" s="564"/>
      <c r="C178" s="564"/>
      <c r="D178" s="564"/>
      <c r="E178" s="486">
        <v>0</v>
      </c>
      <c r="F178" s="486"/>
      <c r="G178" s="486">
        <v>0</v>
      </c>
      <c r="H178" s="486"/>
      <c r="I178" s="486"/>
      <c r="J178" s="486">
        <v>0</v>
      </c>
      <c r="K178" s="486"/>
      <c r="L178" s="486"/>
      <c r="M178" s="486"/>
      <c r="N178" s="286">
        <v>0</v>
      </c>
    </row>
    <row r="179" spans="1:14" ht="22.5" customHeight="1">
      <c r="A179" s="564" t="s">
        <v>791</v>
      </c>
      <c r="B179" s="564"/>
      <c r="C179" s="564"/>
      <c r="D179" s="564"/>
      <c r="E179" s="486">
        <v>0</v>
      </c>
      <c r="F179" s="486"/>
      <c r="G179" s="486">
        <v>0</v>
      </c>
      <c r="H179" s="486"/>
      <c r="I179" s="486"/>
      <c r="J179" s="486">
        <v>0</v>
      </c>
      <c r="K179" s="486"/>
      <c r="L179" s="486"/>
      <c r="M179" s="486"/>
      <c r="N179" s="286">
        <v>0</v>
      </c>
    </row>
    <row r="180" spans="1:14" ht="18" customHeight="1">
      <c r="A180" s="567" t="s">
        <v>792</v>
      </c>
      <c r="B180" s="567"/>
      <c r="C180" s="567"/>
      <c r="D180" s="567"/>
      <c r="E180" s="484">
        <v>0</v>
      </c>
      <c r="F180" s="484"/>
      <c r="G180" s="484">
        <v>0</v>
      </c>
      <c r="H180" s="484"/>
      <c r="I180" s="484"/>
      <c r="J180" s="484">
        <v>0</v>
      </c>
      <c r="K180" s="484"/>
      <c r="L180" s="484"/>
      <c r="M180" s="484"/>
      <c r="N180" s="284">
        <v>0</v>
      </c>
    </row>
    <row r="181" spans="1:14" ht="18" customHeight="1">
      <c r="A181" s="564" t="s">
        <v>793</v>
      </c>
      <c r="B181" s="564"/>
      <c r="C181" s="564"/>
      <c r="D181" s="564"/>
      <c r="E181" s="486">
        <v>0</v>
      </c>
      <c r="F181" s="486"/>
      <c r="G181" s="486">
        <v>0</v>
      </c>
      <c r="H181" s="486"/>
      <c r="I181" s="486"/>
      <c r="J181" s="486">
        <v>0</v>
      </c>
      <c r="K181" s="486"/>
      <c r="L181" s="486"/>
      <c r="M181" s="486"/>
      <c r="N181" s="286">
        <v>0</v>
      </c>
    </row>
    <row r="182" spans="1:14" ht="18" customHeight="1">
      <c r="A182" s="566" t="s">
        <v>794</v>
      </c>
      <c r="B182" s="566"/>
      <c r="C182" s="566"/>
      <c r="D182" s="566"/>
      <c r="E182" s="484">
        <v>0</v>
      </c>
      <c r="F182" s="484"/>
      <c r="G182" s="484">
        <v>0</v>
      </c>
      <c r="H182" s="484"/>
      <c r="I182" s="484"/>
      <c r="J182" s="484">
        <v>0</v>
      </c>
      <c r="K182" s="484"/>
      <c r="L182" s="484"/>
      <c r="M182" s="484"/>
      <c r="N182" s="284">
        <v>0</v>
      </c>
    </row>
    <row r="183" spans="1:14" ht="18" customHeight="1">
      <c r="A183" s="567" t="s">
        <v>727</v>
      </c>
      <c r="B183" s="567"/>
      <c r="C183" s="567"/>
      <c r="D183" s="567"/>
      <c r="E183" s="484">
        <v>0</v>
      </c>
      <c r="F183" s="484"/>
      <c r="G183" s="484">
        <v>0</v>
      </c>
      <c r="H183" s="484"/>
      <c r="I183" s="484"/>
      <c r="J183" s="484">
        <v>0</v>
      </c>
      <c r="K183" s="484"/>
      <c r="L183" s="484"/>
      <c r="M183" s="484"/>
      <c r="N183" s="284">
        <v>0</v>
      </c>
    </row>
    <row r="184" spans="1:14" ht="18" customHeight="1">
      <c r="A184" s="564" t="s">
        <v>795</v>
      </c>
      <c r="B184" s="564"/>
      <c r="C184" s="564"/>
      <c r="D184" s="564"/>
      <c r="E184" s="486">
        <v>0</v>
      </c>
      <c r="F184" s="486"/>
      <c r="G184" s="486">
        <v>0</v>
      </c>
      <c r="H184" s="486"/>
      <c r="I184" s="486"/>
      <c r="J184" s="486">
        <v>0</v>
      </c>
      <c r="K184" s="486"/>
      <c r="L184" s="486"/>
      <c r="M184" s="486"/>
      <c r="N184" s="286">
        <v>0</v>
      </c>
    </row>
    <row r="185" spans="1:14" ht="18" customHeight="1">
      <c r="A185" s="565" t="s">
        <v>446</v>
      </c>
      <c r="B185" s="565"/>
      <c r="C185" s="565"/>
      <c r="D185" s="565"/>
      <c r="E185" s="484">
        <v>3744</v>
      </c>
      <c r="F185" s="484"/>
      <c r="G185" s="484">
        <v>0</v>
      </c>
      <c r="H185" s="484"/>
      <c r="I185" s="484"/>
      <c r="J185" s="484">
        <v>0</v>
      </c>
      <c r="K185" s="484"/>
      <c r="L185" s="484"/>
      <c r="M185" s="484"/>
      <c r="N185" s="284">
        <v>3744</v>
      </c>
    </row>
    <row r="186" spans="1:14" ht="18" customHeight="1">
      <c r="A186" s="563" t="s">
        <v>445</v>
      </c>
      <c r="B186" s="563"/>
      <c r="C186" s="563"/>
      <c r="D186" s="563"/>
      <c r="E186" s="486">
        <v>3744</v>
      </c>
      <c r="F186" s="486"/>
      <c r="G186" s="486">
        <v>0</v>
      </c>
      <c r="H186" s="486"/>
      <c r="I186" s="486"/>
      <c r="J186" s="486">
        <v>0</v>
      </c>
      <c r="K186" s="486"/>
      <c r="L186" s="486"/>
      <c r="M186" s="486"/>
      <c r="N186" s="286">
        <v>3744</v>
      </c>
    </row>
    <row r="187" spans="1:14" ht="54" customHeight="1">
      <c r="A187" s="481" t="s">
        <v>730</v>
      </c>
      <c r="B187" s="481"/>
      <c r="C187" s="481"/>
      <c r="D187" s="482">
        <v>3997383.92</v>
      </c>
      <c r="E187" s="482"/>
      <c r="F187" s="482">
        <v>3644553.49</v>
      </c>
      <c r="G187" s="482"/>
      <c r="H187" s="482">
        <v>3644553.49</v>
      </c>
      <c r="I187" s="482"/>
      <c r="J187" s="482"/>
      <c r="K187" s="482"/>
      <c r="L187" s="482"/>
      <c r="M187" s="482">
        <v>352830.43</v>
      </c>
      <c r="N187" s="482"/>
    </row>
    <row r="188" spans="1:14" ht="0.75" customHeight="1"/>
    <row r="189" spans="1:14" ht="11.25" customHeight="1">
      <c r="A189" s="285" t="s">
        <v>796</v>
      </c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480" t="s">
        <v>604</v>
      </c>
      <c r="N189" s="480"/>
    </row>
    <row r="190" spans="1:14" ht="1.5" customHeight="1">
      <c r="C190" s="479" t="s">
        <v>616</v>
      </c>
      <c r="D190" s="479"/>
      <c r="E190" s="479"/>
      <c r="F190" s="479"/>
      <c r="G190" s="479"/>
      <c r="H190" s="479"/>
      <c r="I190" s="479"/>
      <c r="J190" s="479"/>
      <c r="M190" s="480"/>
      <c r="N190" s="480"/>
    </row>
    <row r="191" spans="1:14" ht="11.25" customHeight="1">
      <c r="C191" s="479"/>
      <c r="D191" s="479"/>
      <c r="E191" s="479"/>
      <c r="F191" s="479"/>
      <c r="G191" s="479"/>
      <c r="H191" s="479"/>
      <c r="I191" s="479"/>
      <c r="J191" s="479"/>
    </row>
    <row r="192" spans="1:14" ht="0.75" customHeight="1">
      <c r="C192" s="479"/>
      <c r="D192" s="479"/>
      <c r="E192" s="479"/>
      <c r="F192" s="479"/>
      <c r="G192" s="479"/>
      <c r="H192" s="479"/>
      <c r="I192" s="479"/>
      <c r="J192" s="479"/>
    </row>
    <row r="193" spans="3:14" ht="0.75" customHeight="1"/>
    <row r="194" spans="3:14" ht="12.75" customHeight="1">
      <c r="C194" s="479" t="s">
        <v>616</v>
      </c>
      <c r="D194" s="479"/>
      <c r="E194" s="479"/>
      <c r="F194" s="479"/>
      <c r="G194" s="479"/>
      <c r="H194" s="479"/>
      <c r="I194" s="479"/>
      <c r="J194" s="479"/>
      <c r="K194" s="479"/>
      <c r="M194" s="480" t="s">
        <v>604</v>
      </c>
      <c r="N194" s="480"/>
    </row>
    <row r="195" spans="3:14" ht="0.75" customHeight="1">
      <c r="C195" s="479"/>
      <c r="D195" s="479"/>
      <c r="E195" s="479"/>
      <c r="F195" s="479"/>
      <c r="G195" s="479"/>
      <c r="H195" s="479"/>
      <c r="I195" s="479"/>
      <c r="J195" s="479"/>
      <c r="K195" s="479"/>
    </row>
  </sheetData>
  <mergeCells count="712">
    <mergeCell ref="A10:C10"/>
    <mergeCell ref="D10:E10"/>
    <mergeCell ref="F10:G10"/>
    <mergeCell ref="H10:L10"/>
    <mergeCell ref="M10:N10"/>
    <mergeCell ref="A11:C12"/>
    <mergeCell ref="I11:N11"/>
    <mergeCell ref="A2:H2"/>
    <mergeCell ref="A3:H3"/>
    <mergeCell ref="A4:C5"/>
    <mergeCell ref="A6:N6"/>
    <mergeCell ref="I7:N7"/>
    <mergeCell ref="A8:N8"/>
    <mergeCell ref="A16:D16"/>
    <mergeCell ref="E16:F16"/>
    <mergeCell ref="G16:I16"/>
    <mergeCell ref="J16:M16"/>
    <mergeCell ref="A17:D17"/>
    <mergeCell ref="E17:F17"/>
    <mergeCell ref="G17:I17"/>
    <mergeCell ref="J17:M17"/>
    <mergeCell ref="A14:N14"/>
    <mergeCell ref="A15:C15"/>
    <mergeCell ref="D15:E15"/>
    <mergeCell ref="F15:G15"/>
    <mergeCell ref="H15:L15"/>
    <mergeCell ref="M15:N15"/>
    <mergeCell ref="A20:D20"/>
    <mergeCell ref="E20:F20"/>
    <mergeCell ref="G20:I20"/>
    <mergeCell ref="J20:M20"/>
    <mergeCell ref="A21:D21"/>
    <mergeCell ref="E21:F21"/>
    <mergeCell ref="G21:I21"/>
    <mergeCell ref="J21:M21"/>
    <mergeCell ref="A18:D18"/>
    <mergeCell ref="E18:F18"/>
    <mergeCell ref="G18:I18"/>
    <mergeCell ref="J18:M18"/>
    <mergeCell ref="A19:D19"/>
    <mergeCell ref="E19:F19"/>
    <mergeCell ref="G19:I19"/>
    <mergeCell ref="J19:M19"/>
    <mergeCell ref="A24:D24"/>
    <mergeCell ref="E24:F24"/>
    <mergeCell ref="G24:I24"/>
    <mergeCell ref="J24:M24"/>
    <mergeCell ref="A25:D25"/>
    <mergeCell ref="E25:F25"/>
    <mergeCell ref="G25:I25"/>
    <mergeCell ref="J25:M25"/>
    <mergeCell ref="A22:D22"/>
    <mergeCell ref="E22:F22"/>
    <mergeCell ref="G22:I22"/>
    <mergeCell ref="J22:M22"/>
    <mergeCell ref="A23:D23"/>
    <mergeCell ref="E23:F23"/>
    <mergeCell ref="G23:I23"/>
    <mergeCell ref="J23:M23"/>
    <mergeCell ref="A28:D28"/>
    <mergeCell ref="E28:F28"/>
    <mergeCell ref="G28:I28"/>
    <mergeCell ref="J28:M28"/>
    <mergeCell ref="A29:D29"/>
    <mergeCell ref="E29:F29"/>
    <mergeCell ref="G29:I29"/>
    <mergeCell ref="J29:M29"/>
    <mergeCell ref="A26:D26"/>
    <mergeCell ref="E26:F26"/>
    <mergeCell ref="G26:I26"/>
    <mergeCell ref="J26:M26"/>
    <mergeCell ref="A27:D27"/>
    <mergeCell ref="E27:F27"/>
    <mergeCell ref="G27:I27"/>
    <mergeCell ref="J27:M27"/>
    <mergeCell ref="A32:D32"/>
    <mergeCell ref="E32:F32"/>
    <mergeCell ref="G32:I32"/>
    <mergeCell ref="J32:M32"/>
    <mergeCell ref="A33:D33"/>
    <mergeCell ref="E33:F33"/>
    <mergeCell ref="G33:I33"/>
    <mergeCell ref="J33:M33"/>
    <mergeCell ref="A30:D30"/>
    <mergeCell ref="E30:F30"/>
    <mergeCell ref="G30:I30"/>
    <mergeCell ref="J30:M30"/>
    <mergeCell ref="A31:D31"/>
    <mergeCell ref="E31:F31"/>
    <mergeCell ref="G31:I31"/>
    <mergeCell ref="J31:M31"/>
    <mergeCell ref="A36:D36"/>
    <mergeCell ref="E36:F36"/>
    <mergeCell ref="G36:I36"/>
    <mergeCell ref="J36:M36"/>
    <mergeCell ref="A37:D37"/>
    <mergeCell ref="E37:F37"/>
    <mergeCell ref="G37:I37"/>
    <mergeCell ref="J37:M37"/>
    <mergeCell ref="A34:D34"/>
    <mergeCell ref="E34:F34"/>
    <mergeCell ref="G34:I34"/>
    <mergeCell ref="J34:M34"/>
    <mergeCell ref="A35:D35"/>
    <mergeCell ref="E35:F35"/>
    <mergeCell ref="G35:I35"/>
    <mergeCell ref="J35:M35"/>
    <mergeCell ref="A40:D40"/>
    <mergeCell ref="E40:F40"/>
    <mergeCell ref="G40:I40"/>
    <mergeCell ref="J40:M40"/>
    <mergeCell ref="A41:D41"/>
    <mergeCell ref="E41:F41"/>
    <mergeCell ref="G41:I41"/>
    <mergeCell ref="J41:M41"/>
    <mergeCell ref="A38:D38"/>
    <mergeCell ref="E38:F38"/>
    <mergeCell ref="G38:I38"/>
    <mergeCell ref="J38:M38"/>
    <mergeCell ref="A39:D39"/>
    <mergeCell ref="E39:F39"/>
    <mergeCell ref="G39:I39"/>
    <mergeCell ref="J39:M39"/>
    <mergeCell ref="A44:D44"/>
    <mergeCell ref="E44:F44"/>
    <mergeCell ref="G44:I44"/>
    <mergeCell ref="J44:M44"/>
    <mergeCell ref="A45:D45"/>
    <mergeCell ref="E45:F45"/>
    <mergeCell ref="G45:I45"/>
    <mergeCell ref="J45:M45"/>
    <mergeCell ref="A42:D42"/>
    <mergeCell ref="E42:F42"/>
    <mergeCell ref="G42:I42"/>
    <mergeCell ref="J42:M42"/>
    <mergeCell ref="A43:D43"/>
    <mergeCell ref="E43:F43"/>
    <mergeCell ref="G43:I43"/>
    <mergeCell ref="J43:M43"/>
    <mergeCell ref="A48:D48"/>
    <mergeCell ref="E48:F48"/>
    <mergeCell ref="G48:I48"/>
    <mergeCell ref="J48:M48"/>
    <mergeCell ref="A49:D49"/>
    <mergeCell ref="E49:F49"/>
    <mergeCell ref="G49:I49"/>
    <mergeCell ref="J49:M49"/>
    <mergeCell ref="A46:D46"/>
    <mergeCell ref="E46:F46"/>
    <mergeCell ref="G46:I46"/>
    <mergeCell ref="J46:M46"/>
    <mergeCell ref="A47:D47"/>
    <mergeCell ref="E47:F47"/>
    <mergeCell ref="G47:I47"/>
    <mergeCell ref="J47:M47"/>
    <mergeCell ref="A52:D52"/>
    <mergeCell ref="E52:F52"/>
    <mergeCell ref="G52:I52"/>
    <mergeCell ref="J52:M52"/>
    <mergeCell ref="A53:D53"/>
    <mergeCell ref="E53:F53"/>
    <mergeCell ref="G53:I53"/>
    <mergeCell ref="J53:M53"/>
    <mergeCell ref="A50:D50"/>
    <mergeCell ref="E50:F50"/>
    <mergeCell ref="G50:I50"/>
    <mergeCell ref="J50:M50"/>
    <mergeCell ref="A51:D51"/>
    <mergeCell ref="E51:F51"/>
    <mergeCell ref="G51:I51"/>
    <mergeCell ref="J51:M51"/>
    <mergeCell ref="A56:D56"/>
    <mergeCell ref="E56:F56"/>
    <mergeCell ref="G56:I56"/>
    <mergeCell ref="J56:M56"/>
    <mergeCell ref="A57:D57"/>
    <mergeCell ref="E57:F57"/>
    <mergeCell ref="G57:I57"/>
    <mergeCell ref="J57:M57"/>
    <mergeCell ref="A54:D54"/>
    <mergeCell ref="E54:F54"/>
    <mergeCell ref="G54:I54"/>
    <mergeCell ref="J54:M54"/>
    <mergeCell ref="A55:D55"/>
    <mergeCell ref="E55:F55"/>
    <mergeCell ref="G55:I55"/>
    <mergeCell ref="J55:M55"/>
    <mergeCell ref="A60:D60"/>
    <mergeCell ref="E60:F60"/>
    <mergeCell ref="G60:I60"/>
    <mergeCell ref="J60:M60"/>
    <mergeCell ref="A61:D61"/>
    <mergeCell ref="E61:F61"/>
    <mergeCell ref="G61:I61"/>
    <mergeCell ref="J61:M61"/>
    <mergeCell ref="A58:D58"/>
    <mergeCell ref="E58:F58"/>
    <mergeCell ref="G58:I58"/>
    <mergeCell ref="J58:M58"/>
    <mergeCell ref="A59:D59"/>
    <mergeCell ref="E59:F59"/>
    <mergeCell ref="G59:I59"/>
    <mergeCell ref="J59:M59"/>
    <mergeCell ref="A64:D64"/>
    <mergeCell ref="E64:F64"/>
    <mergeCell ref="G64:I64"/>
    <mergeCell ref="J64:M64"/>
    <mergeCell ref="A65:D65"/>
    <mergeCell ref="E65:F65"/>
    <mergeCell ref="G65:I65"/>
    <mergeCell ref="J65:M65"/>
    <mergeCell ref="A62:D62"/>
    <mergeCell ref="E62:F62"/>
    <mergeCell ref="G62:I62"/>
    <mergeCell ref="J62:M62"/>
    <mergeCell ref="A63:D63"/>
    <mergeCell ref="E63:F63"/>
    <mergeCell ref="G63:I63"/>
    <mergeCell ref="J63:M63"/>
    <mergeCell ref="A68:D68"/>
    <mergeCell ref="E68:F68"/>
    <mergeCell ref="G68:I68"/>
    <mergeCell ref="J68:M68"/>
    <mergeCell ref="A69:D69"/>
    <mergeCell ref="E69:F69"/>
    <mergeCell ref="G69:I69"/>
    <mergeCell ref="J69:M69"/>
    <mergeCell ref="A66:D66"/>
    <mergeCell ref="E66:F66"/>
    <mergeCell ref="G66:I66"/>
    <mergeCell ref="J66:M66"/>
    <mergeCell ref="A67:D67"/>
    <mergeCell ref="E67:F67"/>
    <mergeCell ref="G67:I67"/>
    <mergeCell ref="J67:M67"/>
    <mergeCell ref="A72:D72"/>
    <mergeCell ref="E72:F72"/>
    <mergeCell ref="G72:I72"/>
    <mergeCell ref="J72:M72"/>
    <mergeCell ref="A73:D73"/>
    <mergeCell ref="E73:F73"/>
    <mergeCell ref="G73:I73"/>
    <mergeCell ref="J73:M73"/>
    <mergeCell ref="A70:D70"/>
    <mergeCell ref="E70:F70"/>
    <mergeCell ref="G70:I70"/>
    <mergeCell ref="J70:M70"/>
    <mergeCell ref="A71:D71"/>
    <mergeCell ref="E71:F71"/>
    <mergeCell ref="G71:I71"/>
    <mergeCell ref="J71:M71"/>
    <mergeCell ref="A76:D76"/>
    <mergeCell ref="E76:F76"/>
    <mergeCell ref="G76:I76"/>
    <mergeCell ref="J76:M76"/>
    <mergeCell ref="A77:D77"/>
    <mergeCell ref="E77:F77"/>
    <mergeCell ref="G77:I77"/>
    <mergeCell ref="J77:M77"/>
    <mergeCell ref="A74:D74"/>
    <mergeCell ref="E74:F74"/>
    <mergeCell ref="G74:I74"/>
    <mergeCell ref="J74:M74"/>
    <mergeCell ref="A75:D75"/>
    <mergeCell ref="E75:F75"/>
    <mergeCell ref="G75:I75"/>
    <mergeCell ref="J75:M75"/>
    <mergeCell ref="A80:D80"/>
    <mergeCell ref="E80:F80"/>
    <mergeCell ref="G80:I80"/>
    <mergeCell ref="J80:M80"/>
    <mergeCell ref="A81:D81"/>
    <mergeCell ref="E81:F81"/>
    <mergeCell ref="G81:I81"/>
    <mergeCell ref="J81:M81"/>
    <mergeCell ref="A78:D78"/>
    <mergeCell ref="E78:F78"/>
    <mergeCell ref="G78:I78"/>
    <mergeCell ref="J78:M78"/>
    <mergeCell ref="A79:D79"/>
    <mergeCell ref="E79:F79"/>
    <mergeCell ref="G79:I79"/>
    <mergeCell ref="J79:M79"/>
    <mergeCell ref="A84:D84"/>
    <mergeCell ref="E84:F84"/>
    <mergeCell ref="G84:I84"/>
    <mergeCell ref="J84:M84"/>
    <mergeCell ref="A85:D85"/>
    <mergeCell ref="E85:F85"/>
    <mergeCell ref="G85:I85"/>
    <mergeCell ref="J85:M85"/>
    <mergeCell ref="A82:D82"/>
    <mergeCell ref="E82:F82"/>
    <mergeCell ref="G82:I82"/>
    <mergeCell ref="J82:M82"/>
    <mergeCell ref="A83:D83"/>
    <mergeCell ref="E83:F83"/>
    <mergeCell ref="G83:I83"/>
    <mergeCell ref="J83:M83"/>
    <mergeCell ref="A88:D88"/>
    <mergeCell ref="E88:F88"/>
    <mergeCell ref="G88:I88"/>
    <mergeCell ref="J88:M88"/>
    <mergeCell ref="A89:D89"/>
    <mergeCell ref="E89:F89"/>
    <mergeCell ref="G89:I89"/>
    <mergeCell ref="J89:M89"/>
    <mergeCell ref="A86:D86"/>
    <mergeCell ref="E86:F86"/>
    <mergeCell ref="G86:I86"/>
    <mergeCell ref="J86:M86"/>
    <mergeCell ref="A87:D87"/>
    <mergeCell ref="E87:F87"/>
    <mergeCell ref="G87:I87"/>
    <mergeCell ref="J87:M87"/>
    <mergeCell ref="A92:D92"/>
    <mergeCell ref="E92:F92"/>
    <mergeCell ref="G92:I92"/>
    <mergeCell ref="J92:M92"/>
    <mergeCell ref="A93:D93"/>
    <mergeCell ref="E93:F93"/>
    <mergeCell ref="G93:I93"/>
    <mergeCell ref="J93:M93"/>
    <mergeCell ref="A90:D90"/>
    <mergeCell ref="E90:F90"/>
    <mergeCell ref="G90:I90"/>
    <mergeCell ref="J90:M90"/>
    <mergeCell ref="A91:D91"/>
    <mergeCell ref="E91:F91"/>
    <mergeCell ref="G91:I91"/>
    <mergeCell ref="J91:M91"/>
    <mergeCell ref="A96:D96"/>
    <mergeCell ref="E96:F96"/>
    <mergeCell ref="G96:I96"/>
    <mergeCell ref="J96:M96"/>
    <mergeCell ref="A97:D97"/>
    <mergeCell ref="E97:F97"/>
    <mergeCell ref="G97:I97"/>
    <mergeCell ref="J97:M97"/>
    <mergeCell ref="A94:D94"/>
    <mergeCell ref="E94:F94"/>
    <mergeCell ref="G94:I94"/>
    <mergeCell ref="J94:M94"/>
    <mergeCell ref="A95:D95"/>
    <mergeCell ref="E95:F95"/>
    <mergeCell ref="G95:I95"/>
    <mergeCell ref="J95:M95"/>
    <mergeCell ref="A100:D100"/>
    <mergeCell ref="E100:F100"/>
    <mergeCell ref="G100:I100"/>
    <mergeCell ref="J100:M100"/>
    <mergeCell ref="A101:D101"/>
    <mergeCell ref="E101:F101"/>
    <mergeCell ref="G101:I101"/>
    <mergeCell ref="J101:M101"/>
    <mergeCell ref="A98:D98"/>
    <mergeCell ref="E98:F98"/>
    <mergeCell ref="G98:I98"/>
    <mergeCell ref="J98:M98"/>
    <mergeCell ref="A99:D99"/>
    <mergeCell ref="E99:F99"/>
    <mergeCell ref="G99:I99"/>
    <mergeCell ref="J99:M99"/>
    <mergeCell ref="A104:D104"/>
    <mergeCell ref="E104:F104"/>
    <mergeCell ref="G104:I104"/>
    <mergeCell ref="J104:M104"/>
    <mergeCell ref="A105:D105"/>
    <mergeCell ref="E105:F105"/>
    <mergeCell ref="G105:I105"/>
    <mergeCell ref="J105:M105"/>
    <mergeCell ref="A102:D102"/>
    <mergeCell ref="E102:F102"/>
    <mergeCell ref="G102:I102"/>
    <mergeCell ref="J102:M102"/>
    <mergeCell ref="A103:D103"/>
    <mergeCell ref="E103:F103"/>
    <mergeCell ref="G103:I103"/>
    <mergeCell ref="J103:M103"/>
    <mergeCell ref="A108:D108"/>
    <mergeCell ref="E108:F108"/>
    <mergeCell ref="G108:I108"/>
    <mergeCell ref="J108:M108"/>
    <mergeCell ref="A109:D109"/>
    <mergeCell ref="E109:F109"/>
    <mergeCell ref="G109:I109"/>
    <mergeCell ref="J109:M109"/>
    <mergeCell ref="A106:D106"/>
    <mergeCell ref="E106:F106"/>
    <mergeCell ref="G106:I106"/>
    <mergeCell ref="J106:M106"/>
    <mergeCell ref="A107:D107"/>
    <mergeCell ref="E107:F107"/>
    <mergeCell ref="G107:I107"/>
    <mergeCell ref="J107:M107"/>
    <mergeCell ref="A112:D112"/>
    <mergeCell ref="E112:F112"/>
    <mergeCell ref="G112:I112"/>
    <mergeCell ref="J112:M112"/>
    <mergeCell ref="A113:D113"/>
    <mergeCell ref="E113:F113"/>
    <mergeCell ref="G113:I113"/>
    <mergeCell ref="J113:M113"/>
    <mergeCell ref="A110:D110"/>
    <mergeCell ref="E110:F110"/>
    <mergeCell ref="G110:I110"/>
    <mergeCell ref="J110:M110"/>
    <mergeCell ref="A111:D111"/>
    <mergeCell ref="E111:F111"/>
    <mergeCell ref="G111:I111"/>
    <mergeCell ref="J111:M111"/>
    <mergeCell ref="A116:D116"/>
    <mergeCell ref="E116:F116"/>
    <mergeCell ref="G116:I116"/>
    <mergeCell ref="J116:M116"/>
    <mergeCell ref="A117:D117"/>
    <mergeCell ref="E117:F117"/>
    <mergeCell ref="G117:I117"/>
    <mergeCell ref="J117:M117"/>
    <mergeCell ref="A114:D114"/>
    <mergeCell ref="E114:F114"/>
    <mergeCell ref="G114:I114"/>
    <mergeCell ref="J114:M114"/>
    <mergeCell ref="A115:D115"/>
    <mergeCell ref="E115:F115"/>
    <mergeCell ref="G115:I115"/>
    <mergeCell ref="J115:M115"/>
    <mergeCell ref="A120:D120"/>
    <mergeCell ref="E120:F120"/>
    <mergeCell ref="G120:I120"/>
    <mergeCell ref="J120:M120"/>
    <mergeCell ref="A121:D121"/>
    <mergeCell ref="E121:F121"/>
    <mergeCell ref="G121:I121"/>
    <mergeCell ref="J121:M121"/>
    <mergeCell ref="A118:D118"/>
    <mergeCell ref="E118:F118"/>
    <mergeCell ref="G118:I118"/>
    <mergeCell ref="J118:M118"/>
    <mergeCell ref="A119:D119"/>
    <mergeCell ref="E119:F119"/>
    <mergeCell ref="G119:I119"/>
    <mergeCell ref="J119:M119"/>
    <mergeCell ref="A124:D124"/>
    <mergeCell ref="E124:F124"/>
    <mergeCell ref="G124:I124"/>
    <mergeCell ref="J124:M124"/>
    <mergeCell ref="A125:D125"/>
    <mergeCell ref="E125:F125"/>
    <mergeCell ref="G125:I125"/>
    <mergeCell ref="J125:M125"/>
    <mergeCell ref="A122:D122"/>
    <mergeCell ref="E122:F122"/>
    <mergeCell ref="G122:I122"/>
    <mergeCell ref="J122:M122"/>
    <mergeCell ref="A123:D123"/>
    <mergeCell ref="E123:F123"/>
    <mergeCell ref="G123:I123"/>
    <mergeCell ref="J123:M123"/>
    <mergeCell ref="A128:D128"/>
    <mergeCell ref="E128:F128"/>
    <mergeCell ref="G128:I128"/>
    <mergeCell ref="J128:M128"/>
    <mergeCell ref="A129:D129"/>
    <mergeCell ref="E129:F129"/>
    <mergeCell ref="G129:I129"/>
    <mergeCell ref="J129:M129"/>
    <mergeCell ref="A126:D126"/>
    <mergeCell ref="E126:F126"/>
    <mergeCell ref="G126:I126"/>
    <mergeCell ref="J126:M126"/>
    <mergeCell ref="A127:D127"/>
    <mergeCell ref="E127:F127"/>
    <mergeCell ref="G127:I127"/>
    <mergeCell ref="J127:M127"/>
    <mergeCell ref="A132:D132"/>
    <mergeCell ref="E132:F132"/>
    <mergeCell ref="G132:I132"/>
    <mergeCell ref="J132:M132"/>
    <mergeCell ref="A133:D133"/>
    <mergeCell ref="E133:F133"/>
    <mergeCell ref="G133:I133"/>
    <mergeCell ref="J133:M133"/>
    <mergeCell ref="A130:D130"/>
    <mergeCell ref="E130:F130"/>
    <mergeCell ref="G130:I130"/>
    <mergeCell ref="J130:M130"/>
    <mergeCell ref="A131:D131"/>
    <mergeCell ref="E131:F131"/>
    <mergeCell ref="G131:I131"/>
    <mergeCell ref="J131:M131"/>
    <mergeCell ref="A136:D136"/>
    <mergeCell ref="E136:F136"/>
    <mergeCell ref="G136:I136"/>
    <mergeCell ref="J136:M136"/>
    <mergeCell ref="A137:D137"/>
    <mergeCell ref="E137:F137"/>
    <mergeCell ref="G137:I137"/>
    <mergeCell ref="J137:M137"/>
    <mergeCell ref="A134:D134"/>
    <mergeCell ref="E134:F134"/>
    <mergeCell ref="G134:I134"/>
    <mergeCell ref="J134:M134"/>
    <mergeCell ref="A135:D135"/>
    <mergeCell ref="E135:F135"/>
    <mergeCell ref="G135:I135"/>
    <mergeCell ref="J135:M135"/>
    <mergeCell ref="A140:D140"/>
    <mergeCell ref="E140:F140"/>
    <mergeCell ref="G140:I140"/>
    <mergeCell ref="J140:M140"/>
    <mergeCell ref="A141:D141"/>
    <mergeCell ref="E141:F141"/>
    <mergeCell ref="G141:I141"/>
    <mergeCell ref="J141:M141"/>
    <mergeCell ref="A138:D138"/>
    <mergeCell ref="E138:F138"/>
    <mergeCell ref="G138:I138"/>
    <mergeCell ref="J138:M138"/>
    <mergeCell ref="A139:D139"/>
    <mergeCell ref="E139:F139"/>
    <mergeCell ref="G139:I139"/>
    <mergeCell ref="J139:M139"/>
    <mergeCell ref="A144:D144"/>
    <mergeCell ref="E144:F144"/>
    <mergeCell ref="G144:I144"/>
    <mergeCell ref="J144:M144"/>
    <mergeCell ref="A145:D145"/>
    <mergeCell ref="E145:F145"/>
    <mergeCell ref="G145:I145"/>
    <mergeCell ref="J145:M145"/>
    <mergeCell ref="A142:D142"/>
    <mergeCell ref="E142:F142"/>
    <mergeCell ref="G142:I142"/>
    <mergeCell ref="J142:M142"/>
    <mergeCell ref="A143:D143"/>
    <mergeCell ref="E143:F143"/>
    <mergeCell ref="G143:I143"/>
    <mergeCell ref="J143:M143"/>
    <mergeCell ref="A148:D148"/>
    <mergeCell ref="E148:F148"/>
    <mergeCell ref="G148:I148"/>
    <mergeCell ref="J148:M148"/>
    <mergeCell ref="A149:D149"/>
    <mergeCell ref="E149:F149"/>
    <mergeCell ref="G149:I149"/>
    <mergeCell ref="J149:M149"/>
    <mergeCell ref="A146:D146"/>
    <mergeCell ref="E146:F146"/>
    <mergeCell ref="G146:I146"/>
    <mergeCell ref="J146:M146"/>
    <mergeCell ref="A147:D147"/>
    <mergeCell ref="E147:F147"/>
    <mergeCell ref="G147:I147"/>
    <mergeCell ref="J147:M147"/>
    <mergeCell ref="A152:D152"/>
    <mergeCell ref="E152:F152"/>
    <mergeCell ref="G152:I152"/>
    <mergeCell ref="J152:M152"/>
    <mergeCell ref="A153:D153"/>
    <mergeCell ref="E153:F153"/>
    <mergeCell ref="G153:I153"/>
    <mergeCell ref="J153:M153"/>
    <mergeCell ref="A150:D150"/>
    <mergeCell ref="E150:F150"/>
    <mergeCell ref="G150:I150"/>
    <mergeCell ref="J150:M150"/>
    <mergeCell ref="A151:D151"/>
    <mergeCell ref="E151:F151"/>
    <mergeCell ref="G151:I151"/>
    <mergeCell ref="J151:M151"/>
    <mergeCell ref="A156:D156"/>
    <mergeCell ref="E156:F156"/>
    <mergeCell ref="G156:I156"/>
    <mergeCell ref="J156:M156"/>
    <mergeCell ref="A157:D157"/>
    <mergeCell ref="E157:F157"/>
    <mergeCell ref="G157:I157"/>
    <mergeCell ref="J157:M157"/>
    <mergeCell ref="A154:D154"/>
    <mergeCell ref="E154:F154"/>
    <mergeCell ref="G154:I154"/>
    <mergeCell ref="J154:M154"/>
    <mergeCell ref="A155:D155"/>
    <mergeCell ref="E155:F155"/>
    <mergeCell ref="G155:I155"/>
    <mergeCell ref="J155:M155"/>
    <mergeCell ref="A160:D160"/>
    <mergeCell ref="E160:F160"/>
    <mergeCell ref="G160:I160"/>
    <mergeCell ref="J160:M160"/>
    <mergeCell ref="A161:D161"/>
    <mergeCell ref="E161:F161"/>
    <mergeCell ref="G161:I161"/>
    <mergeCell ref="J161:M161"/>
    <mergeCell ref="A158:D158"/>
    <mergeCell ref="E158:F158"/>
    <mergeCell ref="G158:I158"/>
    <mergeCell ref="J158:M158"/>
    <mergeCell ref="A159:D159"/>
    <mergeCell ref="E159:F159"/>
    <mergeCell ref="G159:I159"/>
    <mergeCell ref="J159:M159"/>
    <mergeCell ref="A164:D164"/>
    <mergeCell ref="E164:F164"/>
    <mergeCell ref="G164:I164"/>
    <mergeCell ref="J164:M164"/>
    <mergeCell ref="A165:D165"/>
    <mergeCell ref="E165:F165"/>
    <mergeCell ref="G165:I165"/>
    <mergeCell ref="J165:M165"/>
    <mergeCell ref="A162:D162"/>
    <mergeCell ref="E162:F162"/>
    <mergeCell ref="G162:I162"/>
    <mergeCell ref="J162:M162"/>
    <mergeCell ref="A163:D163"/>
    <mergeCell ref="E163:F163"/>
    <mergeCell ref="G163:I163"/>
    <mergeCell ref="J163:M163"/>
    <mergeCell ref="A168:D168"/>
    <mergeCell ref="E168:F168"/>
    <mergeCell ref="G168:I168"/>
    <mergeCell ref="J168:M168"/>
    <mergeCell ref="A169:D169"/>
    <mergeCell ref="E169:F169"/>
    <mergeCell ref="G169:I169"/>
    <mergeCell ref="J169:M169"/>
    <mergeCell ref="A166:D166"/>
    <mergeCell ref="E166:F166"/>
    <mergeCell ref="G166:I166"/>
    <mergeCell ref="J166:M166"/>
    <mergeCell ref="A167:D167"/>
    <mergeCell ref="E167:F167"/>
    <mergeCell ref="G167:I167"/>
    <mergeCell ref="J167:M167"/>
    <mergeCell ref="A172:D172"/>
    <mergeCell ref="E172:F172"/>
    <mergeCell ref="G172:I172"/>
    <mergeCell ref="J172:M172"/>
    <mergeCell ref="A173:D173"/>
    <mergeCell ref="E173:F173"/>
    <mergeCell ref="G173:I173"/>
    <mergeCell ref="J173:M173"/>
    <mergeCell ref="A170:D170"/>
    <mergeCell ref="E170:F170"/>
    <mergeCell ref="G170:I170"/>
    <mergeCell ref="J170:M170"/>
    <mergeCell ref="A171:D171"/>
    <mergeCell ref="E171:F171"/>
    <mergeCell ref="G171:I171"/>
    <mergeCell ref="J171:M171"/>
    <mergeCell ref="A176:D176"/>
    <mergeCell ref="E176:F176"/>
    <mergeCell ref="G176:I176"/>
    <mergeCell ref="J176:M176"/>
    <mergeCell ref="A177:D177"/>
    <mergeCell ref="E177:F177"/>
    <mergeCell ref="G177:I177"/>
    <mergeCell ref="J177:M177"/>
    <mergeCell ref="A174:D174"/>
    <mergeCell ref="E174:F174"/>
    <mergeCell ref="G174:I174"/>
    <mergeCell ref="J174:M174"/>
    <mergeCell ref="A175:D175"/>
    <mergeCell ref="E175:F175"/>
    <mergeCell ref="G175:I175"/>
    <mergeCell ref="J175:M175"/>
    <mergeCell ref="A180:D180"/>
    <mergeCell ref="E180:F180"/>
    <mergeCell ref="G180:I180"/>
    <mergeCell ref="J180:M180"/>
    <mergeCell ref="A181:D181"/>
    <mergeCell ref="E181:F181"/>
    <mergeCell ref="G181:I181"/>
    <mergeCell ref="J181:M181"/>
    <mergeCell ref="A178:D178"/>
    <mergeCell ref="E178:F178"/>
    <mergeCell ref="G178:I178"/>
    <mergeCell ref="J178:M178"/>
    <mergeCell ref="A179:D179"/>
    <mergeCell ref="E179:F179"/>
    <mergeCell ref="G179:I179"/>
    <mergeCell ref="J179:M179"/>
    <mergeCell ref="A184:D184"/>
    <mergeCell ref="E184:F184"/>
    <mergeCell ref="G184:I184"/>
    <mergeCell ref="J184:M184"/>
    <mergeCell ref="A185:D185"/>
    <mergeCell ref="E185:F185"/>
    <mergeCell ref="G185:I185"/>
    <mergeCell ref="J185:M185"/>
    <mergeCell ref="A182:D182"/>
    <mergeCell ref="E182:F182"/>
    <mergeCell ref="G182:I182"/>
    <mergeCell ref="J182:M182"/>
    <mergeCell ref="A183:D183"/>
    <mergeCell ref="E183:F183"/>
    <mergeCell ref="G183:I183"/>
    <mergeCell ref="J183:M183"/>
    <mergeCell ref="M189:N190"/>
    <mergeCell ref="C190:J192"/>
    <mergeCell ref="C194:K195"/>
    <mergeCell ref="M194:N194"/>
    <mergeCell ref="A186:D186"/>
    <mergeCell ref="E186:F186"/>
    <mergeCell ref="G186:I186"/>
    <mergeCell ref="J186:M186"/>
    <mergeCell ref="A187:C187"/>
    <mergeCell ref="D187:E187"/>
    <mergeCell ref="F187:G187"/>
    <mergeCell ref="H187:L187"/>
    <mergeCell ref="M187:N187"/>
  </mergeCells>
  <pageMargins left="0.19666667282581299" right="0.18999999761581399" top="0.20000000298023199" bottom="0.20000000298023199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O26"/>
  <sheetViews>
    <sheetView showGridLines="0" zoomScaleNormal="100" workbookViewId="0">
      <pane ySplit="2" topLeftCell="A3" activePane="bottomLeft" state="frozen"/>
      <selection activeCell="A2" sqref="A2"/>
      <selection pane="bottomLeft" activeCell="M8" sqref="M8"/>
    </sheetView>
  </sheetViews>
  <sheetFormatPr defaultColWidth="0" defaultRowHeight="23.25" zeroHeight="1"/>
  <cols>
    <col min="1" max="1" width="16.5703125" style="68" customWidth="1"/>
    <col min="2" max="2" width="70.42578125" style="69" customWidth="1"/>
    <col min="3" max="3" width="6.42578125" style="69" bestFit="1" customWidth="1"/>
    <col min="4" max="4" width="12.7109375" style="74" bestFit="1" customWidth="1"/>
    <col min="5" max="5" width="6.42578125" style="69" bestFit="1" customWidth="1"/>
    <col min="6" max="6" width="11.5703125" style="74" bestFit="1" customWidth="1"/>
    <col min="7" max="7" width="7.5703125" style="69" bestFit="1" customWidth="1"/>
    <col min="8" max="8" width="14.5703125" style="74" bestFit="1" customWidth="1"/>
    <col min="9" max="9" width="7.5703125" style="69" bestFit="1" customWidth="1"/>
    <col min="10" max="10" width="15" style="74" bestFit="1" customWidth="1"/>
    <col min="11" max="11" width="12.28515625" style="69" bestFit="1" customWidth="1"/>
    <col min="12" max="12" width="8.5703125" style="65" customWidth="1"/>
    <col min="13" max="13" width="57.7109375" style="81" customWidth="1"/>
    <col min="14" max="249" width="0" style="65" hidden="1" customWidth="1"/>
    <col min="250" max="16384" width="22.5703125" style="65" hidden="1"/>
  </cols>
  <sheetData>
    <row r="1" spans="1:13" ht="36.75" customHeight="1">
      <c r="A1" s="578" t="s">
        <v>294</v>
      </c>
      <c r="B1" s="578" t="s">
        <v>293</v>
      </c>
      <c r="C1" s="571" t="s">
        <v>292</v>
      </c>
      <c r="D1" s="571"/>
      <c r="E1" s="571" t="s">
        <v>295</v>
      </c>
      <c r="F1" s="571"/>
      <c r="G1" s="571" t="s">
        <v>291</v>
      </c>
      <c r="H1" s="571"/>
      <c r="I1" s="571" t="s">
        <v>290</v>
      </c>
      <c r="J1" s="571"/>
      <c r="K1" s="572" t="s">
        <v>289</v>
      </c>
      <c r="M1" s="82" t="s">
        <v>296</v>
      </c>
    </row>
    <row r="2" spans="1:13">
      <c r="A2" s="579"/>
      <c r="B2" s="579"/>
      <c r="C2" s="76" t="s">
        <v>288</v>
      </c>
      <c r="D2" s="77" t="s">
        <v>36</v>
      </c>
      <c r="E2" s="76" t="s">
        <v>288</v>
      </c>
      <c r="F2" s="77" t="s">
        <v>36</v>
      </c>
      <c r="G2" s="76" t="s">
        <v>288</v>
      </c>
      <c r="H2" s="77" t="s">
        <v>36</v>
      </c>
      <c r="I2" s="76" t="s">
        <v>288</v>
      </c>
      <c r="J2" s="77" t="s">
        <v>36</v>
      </c>
      <c r="K2" s="573"/>
      <c r="M2" s="82" t="s">
        <v>297</v>
      </c>
    </row>
    <row r="3" spans="1:13" ht="30.75" customHeight="1">
      <c r="A3" s="574" t="s">
        <v>117</v>
      </c>
      <c r="B3" s="67" t="s">
        <v>14</v>
      </c>
      <c r="C3" s="191">
        <f>COUNTIFS('Quadro Geral'!$D:$D,'Matriz de Obj. Estrat.'!$B3,'Quadro Geral'!$B:$B,"P")</f>
        <v>0</v>
      </c>
      <c r="D3" s="192">
        <f>SUMIFS('Quadro Geral'!$H:$H,'Quadro Geral'!$D:$D,'Matriz de Obj. Estrat.'!$B3,'Quadro Geral'!$B:$B,"P")</f>
        <v>0</v>
      </c>
      <c r="E3" s="191">
        <f>COUNTIFS('Quadro Geral'!$D:$D,'Matriz de Obj. Estrat.'!$B3,'Quadro Geral'!$B:$B,"PE")</f>
        <v>0</v>
      </c>
      <c r="F3" s="192">
        <f>SUMIFS('Quadro Geral'!$H:$H,'Quadro Geral'!$D:$D,'Matriz de Obj. Estrat.'!$B3,'Quadro Geral'!$B:$B,"PE")</f>
        <v>0</v>
      </c>
      <c r="G3" s="191">
        <f>COUNTIFS('Quadro Geral'!$D:$D,'Matriz de Obj. Estrat.'!$B3,'Quadro Geral'!$B:$B,"A")</f>
        <v>0</v>
      </c>
      <c r="H3" s="192">
        <f>SUMIFS('Quadro Geral'!$H:$H,'Quadro Geral'!$D:$D,'Matriz de Obj. Estrat.'!$B3,'Quadro Geral'!$B:$B,"A")</f>
        <v>0</v>
      </c>
      <c r="I3" s="191">
        <f>C3+E3+G3</f>
        <v>0</v>
      </c>
      <c r="J3" s="192">
        <f>D3+F3+H3</f>
        <v>0</v>
      </c>
      <c r="K3" s="193">
        <f t="shared" ref="K3:K18" si="0">IFERROR(J3/$J$19*100,0)</f>
        <v>0</v>
      </c>
      <c r="M3" s="235" t="s">
        <v>77</v>
      </c>
    </row>
    <row r="4" spans="1:13" ht="30.75" customHeight="1">
      <c r="A4" s="574"/>
      <c r="B4" s="67" t="s">
        <v>108</v>
      </c>
      <c r="C4" s="191">
        <f>COUNTIFS('Quadro Geral'!$D:$D,'Matriz de Obj. Estrat.'!$B4,'Quadro Geral'!$B:$B,"P")</f>
        <v>0</v>
      </c>
      <c r="D4" s="192">
        <f>SUMIFS('Quadro Geral'!$H:$H,'Quadro Geral'!$D:$D,'Matriz de Obj. Estrat.'!$B4,'Quadro Geral'!$B:$B,"P")</f>
        <v>0</v>
      </c>
      <c r="E4" s="191">
        <f>COUNTIFS('Quadro Geral'!$D:$D,'Matriz de Obj. Estrat.'!$B4,'Quadro Geral'!$B:$B,"PE")</f>
        <v>0</v>
      </c>
      <c r="F4" s="192">
        <f>SUMIFS('Quadro Geral'!$H:$H,'Quadro Geral'!$D:$D,'Matriz de Obj. Estrat.'!$B4,'Quadro Geral'!$B:$B,"PE")</f>
        <v>0</v>
      </c>
      <c r="G4" s="191">
        <f>COUNTIFS('Quadro Geral'!$D:$D,'Matriz de Obj. Estrat.'!$B4,'Quadro Geral'!$B:$B,"A")</f>
        <v>0</v>
      </c>
      <c r="H4" s="192">
        <f>SUMIFS('Quadro Geral'!$H:$H,'Quadro Geral'!$D:$D,'Matriz de Obj. Estrat.'!$B4,'Quadro Geral'!$B:$B,"A")</f>
        <v>0</v>
      </c>
      <c r="I4" s="191">
        <f t="shared" ref="I4:I18" si="1">C4+E4+G4</f>
        <v>0</v>
      </c>
      <c r="J4" s="192">
        <f t="shared" ref="J4:J18" si="2">D4+F4+H4</f>
        <v>0</v>
      </c>
      <c r="K4" s="193">
        <f t="shared" si="0"/>
        <v>0</v>
      </c>
      <c r="M4" s="235" t="s">
        <v>17</v>
      </c>
    </row>
    <row r="5" spans="1:13" ht="30.75" customHeight="1">
      <c r="A5" s="575" t="s">
        <v>287</v>
      </c>
      <c r="B5" s="67" t="s">
        <v>15</v>
      </c>
      <c r="C5" s="191">
        <f>COUNTIFS('Quadro Geral'!$D:$D,'Matriz de Obj. Estrat.'!$B5,'Quadro Geral'!$B:$B,"P")</f>
        <v>0</v>
      </c>
      <c r="D5" s="192">
        <f>SUMIFS('Quadro Geral'!$H:$H,'Quadro Geral'!$D:$D,'Matriz de Obj. Estrat.'!$B5,'Quadro Geral'!$B:$B,"P")</f>
        <v>0</v>
      </c>
      <c r="E5" s="191">
        <f>COUNTIFS('Quadro Geral'!$D:$D,'Matriz de Obj. Estrat.'!$B5,'Quadro Geral'!$B:$B,"PE")</f>
        <v>0</v>
      </c>
      <c r="F5" s="192">
        <f>SUMIFS('Quadro Geral'!$H:$H,'Quadro Geral'!$D:$D,'Matriz de Obj. Estrat.'!$B5,'Quadro Geral'!$B:$B,"PE")</f>
        <v>0</v>
      </c>
      <c r="G5" s="191">
        <f>COUNTIFS('Quadro Geral'!$D:$D,'Matriz de Obj. Estrat.'!$B5,'Quadro Geral'!$B:$B,"A")</f>
        <v>2</v>
      </c>
      <c r="H5" s="192">
        <f>SUMIFS('Quadro Geral'!$H:$H,'Quadro Geral'!$D:$D,'Matriz de Obj. Estrat.'!$B5,'Quadro Geral'!$B:$B,"A")</f>
        <v>805686.48</v>
      </c>
      <c r="I5" s="191">
        <f t="shared" si="1"/>
        <v>2</v>
      </c>
      <c r="J5" s="192">
        <f t="shared" si="2"/>
        <v>805686.48</v>
      </c>
      <c r="K5" s="193">
        <f t="shared" si="0"/>
        <v>22.106589523535845</v>
      </c>
      <c r="M5" s="235" t="s">
        <v>20</v>
      </c>
    </row>
    <row r="6" spans="1:13" ht="30.75" customHeight="1">
      <c r="A6" s="575"/>
      <c r="B6" s="67" t="s">
        <v>77</v>
      </c>
      <c r="C6" s="191">
        <f>COUNTIFS('Quadro Geral'!$D:$D,'Matriz de Obj. Estrat.'!$B6,'Quadro Geral'!$B:$B,"P")</f>
        <v>0</v>
      </c>
      <c r="D6" s="192">
        <f>SUMIFS('Quadro Geral'!$H:$H,'Quadro Geral'!$D:$D,'Matriz de Obj. Estrat.'!$B6,'Quadro Geral'!$B:$B,"P")</f>
        <v>0</v>
      </c>
      <c r="E6" s="191">
        <f>COUNTIFS('Quadro Geral'!$D:$D,'Matriz de Obj. Estrat.'!$B6,'Quadro Geral'!$B:$B,"PE")</f>
        <v>0</v>
      </c>
      <c r="F6" s="192">
        <f>SUMIFS('Quadro Geral'!$H:$H,'Quadro Geral'!$D:$D,'Matriz de Obj. Estrat.'!$B6,'Quadro Geral'!$B:$B,"PE")</f>
        <v>0</v>
      </c>
      <c r="G6" s="191">
        <f>COUNTIFS('Quadro Geral'!$D:$D,'Matriz de Obj. Estrat.'!$B6,'Quadro Geral'!$B:$B,"A")</f>
        <v>2</v>
      </c>
      <c r="H6" s="192">
        <f>SUMIFS('Quadro Geral'!$H:$H,'Quadro Geral'!$D:$D,'Matriz de Obj. Estrat.'!$B6,'Quadro Geral'!$B:$B,"A")</f>
        <v>438901.89</v>
      </c>
      <c r="I6" s="191">
        <f t="shared" si="1"/>
        <v>2</v>
      </c>
      <c r="J6" s="192">
        <f t="shared" si="2"/>
        <v>438901.89</v>
      </c>
      <c r="K6" s="193">
        <f t="shared" si="0"/>
        <v>12.042679335185172</v>
      </c>
    </row>
    <row r="7" spans="1:13" ht="30.75" customHeight="1">
      <c r="A7" s="575"/>
      <c r="B7" s="67" t="s">
        <v>17</v>
      </c>
      <c r="C7" s="191">
        <f>COUNTIFS('Quadro Geral'!$D:$D,'Matriz de Obj. Estrat.'!$B7,'Quadro Geral'!$B:$B,"P")</f>
        <v>1</v>
      </c>
      <c r="D7" s="192">
        <f>SUMIFS('Quadro Geral'!$H:$H,'Quadro Geral'!$D:$D,'Matriz de Obj. Estrat.'!$B7,'Quadro Geral'!$B:$B,"P")</f>
        <v>34381.18</v>
      </c>
      <c r="E7" s="191">
        <f>COUNTIFS('Quadro Geral'!$D:$D,'Matriz de Obj. Estrat.'!$B7,'Quadro Geral'!$B:$B,"PE")</f>
        <v>1</v>
      </c>
      <c r="F7" s="192">
        <f>SUMIFS('Quadro Geral'!$H:$H,'Quadro Geral'!$D:$D,'Matriz de Obj. Estrat.'!$B7,'Quadro Geral'!$B:$B,"PE")</f>
        <v>50000</v>
      </c>
      <c r="G7" s="191">
        <f>COUNTIFS('Quadro Geral'!$D:$D,'Matriz de Obj. Estrat.'!$B7,'Quadro Geral'!$B:$B,"A")</f>
        <v>0</v>
      </c>
      <c r="H7" s="192">
        <f>SUMIFS('Quadro Geral'!$H:$H,'Quadro Geral'!$D:$D,'Matriz de Obj. Estrat.'!$B7,'Quadro Geral'!$B:$B,"A")</f>
        <v>0</v>
      </c>
      <c r="I7" s="191">
        <f t="shared" si="1"/>
        <v>2</v>
      </c>
      <c r="J7" s="192">
        <f t="shared" si="2"/>
        <v>84381.18</v>
      </c>
      <c r="K7" s="193">
        <f t="shared" si="0"/>
        <v>2.3152679808795997</v>
      </c>
    </row>
    <row r="8" spans="1:13" ht="30.75" customHeight="1">
      <c r="A8" s="575"/>
      <c r="B8" s="67" t="s">
        <v>89</v>
      </c>
      <c r="C8" s="191">
        <f>COUNTIFS('Quadro Geral'!$D:$D,'Matriz de Obj. Estrat.'!$B8,'Quadro Geral'!$B:$B,"P")</f>
        <v>0</v>
      </c>
      <c r="D8" s="192">
        <f>SUMIFS('Quadro Geral'!$H:$H,'Quadro Geral'!$D:$D,'Matriz de Obj. Estrat.'!$B8,'Quadro Geral'!$B:$B,"P")</f>
        <v>0</v>
      </c>
      <c r="E8" s="191">
        <f>COUNTIFS('Quadro Geral'!$D:$D,'Matriz de Obj. Estrat.'!$B8,'Quadro Geral'!$B:$B,"PE")</f>
        <v>0</v>
      </c>
      <c r="F8" s="192">
        <f>SUMIFS('Quadro Geral'!$H:$H,'Quadro Geral'!$D:$D,'Matriz de Obj. Estrat.'!$B8,'Quadro Geral'!$B:$B,"PE")</f>
        <v>0</v>
      </c>
      <c r="G8" s="191">
        <f>COUNTIFS('Quadro Geral'!$D:$D,'Matriz de Obj. Estrat.'!$B8,'Quadro Geral'!$B:$B,"A")</f>
        <v>0</v>
      </c>
      <c r="H8" s="192">
        <f>SUMIFS('Quadro Geral'!$H:$H,'Quadro Geral'!$D:$D,'Matriz de Obj. Estrat.'!$B8,'Quadro Geral'!$B:$B,"A")</f>
        <v>0</v>
      </c>
      <c r="I8" s="191">
        <f t="shared" si="1"/>
        <v>0</v>
      </c>
      <c r="J8" s="192">
        <f t="shared" si="2"/>
        <v>0</v>
      </c>
      <c r="K8" s="193">
        <f t="shared" si="0"/>
        <v>0</v>
      </c>
    </row>
    <row r="9" spans="1:13" ht="30.75" customHeight="1">
      <c r="A9" s="575"/>
      <c r="B9" s="67" t="s">
        <v>109</v>
      </c>
      <c r="C9" s="191">
        <f>COUNTIFS('Quadro Geral'!$D:$D,'Matriz de Obj. Estrat.'!$B9,'Quadro Geral'!$B:$B,"P")</f>
        <v>0</v>
      </c>
      <c r="D9" s="192">
        <f>SUMIFS('Quadro Geral'!$H:$H,'Quadro Geral'!$D:$D,'Matriz de Obj. Estrat.'!$B9,'Quadro Geral'!$B:$B,"P")</f>
        <v>0</v>
      </c>
      <c r="E9" s="191">
        <f>COUNTIFS('Quadro Geral'!$D:$D,'Matriz de Obj. Estrat.'!$B9,'Quadro Geral'!$B:$B,"PE")</f>
        <v>0</v>
      </c>
      <c r="F9" s="192">
        <f>SUMIFS('Quadro Geral'!$H:$H,'Quadro Geral'!$D:$D,'Matriz de Obj. Estrat.'!$B9,'Quadro Geral'!$B:$B,"PE")</f>
        <v>0</v>
      </c>
      <c r="G9" s="191">
        <f>COUNTIFS('Quadro Geral'!$D:$D,'Matriz de Obj. Estrat.'!$B9,'Quadro Geral'!$B:$B,"A")</f>
        <v>0</v>
      </c>
      <c r="H9" s="192">
        <f>SUMIFS('Quadro Geral'!$H:$H,'Quadro Geral'!$D:$D,'Matriz de Obj. Estrat.'!$B9,'Quadro Geral'!$B:$B,"A")</f>
        <v>0</v>
      </c>
      <c r="I9" s="191">
        <f t="shared" si="1"/>
        <v>0</v>
      </c>
      <c r="J9" s="192">
        <f t="shared" si="2"/>
        <v>0</v>
      </c>
      <c r="K9" s="193">
        <f t="shared" si="0"/>
        <v>0</v>
      </c>
    </row>
    <row r="10" spans="1:13" ht="30.75" customHeight="1">
      <c r="A10" s="575"/>
      <c r="B10" s="67" t="s">
        <v>83</v>
      </c>
      <c r="C10" s="191">
        <f>COUNTIFS('Quadro Geral'!$D:$D,'Matriz de Obj. Estrat.'!$B10,'Quadro Geral'!$B:$B,"P")</f>
        <v>0</v>
      </c>
      <c r="D10" s="192">
        <f>SUMIFS('Quadro Geral'!$H:$H,'Quadro Geral'!$D:$D,'Matriz de Obj. Estrat.'!$B10,'Quadro Geral'!$B:$B,"P")</f>
        <v>0</v>
      </c>
      <c r="E10" s="191">
        <f>COUNTIFS('Quadro Geral'!$D:$D,'Matriz de Obj. Estrat.'!$B10,'Quadro Geral'!$B:$B,"PE")</f>
        <v>0</v>
      </c>
      <c r="F10" s="192">
        <f>SUMIFS('Quadro Geral'!$H:$H,'Quadro Geral'!$D:$D,'Matriz de Obj. Estrat.'!$B10,'Quadro Geral'!$B:$B,"PE")</f>
        <v>0</v>
      </c>
      <c r="G10" s="191">
        <f>COUNTIFS('Quadro Geral'!$D:$D,'Matriz de Obj. Estrat.'!$B10,'Quadro Geral'!$B:$B,"A")</f>
        <v>1</v>
      </c>
      <c r="H10" s="192">
        <f>SUMIFS('Quadro Geral'!$H:$H,'Quadro Geral'!$D:$D,'Matriz de Obj. Estrat.'!$B10,'Quadro Geral'!$B:$B,"A")</f>
        <v>610606.06000000006</v>
      </c>
      <c r="I10" s="191">
        <f t="shared" si="1"/>
        <v>1</v>
      </c>
      <c r="J10" s="192">
        <f t="shared" si="2"/>
        <v>610606.06000000006</v>
      </c>
      <c r="K10" s="193">
        <f t="shared" si="0"/>
        <v>16.753933278120169</v>
      </c>
    </row>
    <row r="11" spans="1:13" ht="30.75" customHeight="1">
      <c r="A11" s="575"/>
      <c r="B11" s="67" t="s">
        <v>20</v>
      </c>
      <c r="C11" s="191">
        <f>COUNTIFS('Quadro Geral'!$D:$D,'Matriz de Obj. Estrat.'!$B11,'Quadro Geral'!$B:$B,"P")</f>
        <v>0</v>
      </c>
      <c r="D11" s="192">
        <f>SUMIFS('Quadro Geral'!$H:$H,'Quadro Geral'!$D:$D,'Matriz de Obj. Estrat.'!$B11,'Quadro Geral'!$B:$B,"P")</f>
        <v>0</v>
      </c>
      <c r="E11" s="191">
        <f>COUNTIFS('Quadro Geral'!$D:$D,'Matriz de Obj. Estrat.'!$B11,'Quadro Geral'!$B:$B,"PE")</f>
        <v>0</v>
      </c>
      <c r="F11" s="192">
        <f>SUMIFS('Quadro Geral'!$H:$H,'Quadro Geral'!$D:$D,'Matriz de Obj. Estrat.'!$B11,'Quadro Geral'!$B:$B,"PE")</f>
        <v>0</v>
      </c>
      <c r="G11" s="191">
        <f>COUNTIFS('Quadro Geral'!$D:$D,'Matriz de Obj. Estrat.'!$B11,'Quadro Geral'!$B:$B,"A")</f>
        <v>1</v>
      </c>
      <c r="H11" s="192">
        <f>SUMIFS('Quadro Geral'!$H:$H,'Quadro Geral'!$D:$D,'Matriz de Obj. Estrat.'!$B11,'Quadro Geral'!$B:$B,"A")</f>
        <v>125218.07</v>
      </c>
      <c r="I11" s="191">
        <f t="shared" si="1"/>
        <v>1</v>
      </c>
      <c r="J11" s="192">
        <f t="shared" si="2"/>
        <v>125218.07</v>
      </c>
      <c r="K11" s="193">
        <f t="shared" si="0"/>
        <v>3.4357588753622603</v>
      </c>
    </row>
    <row r="12" spans="1:13" ht="30.75" customHeight="1">
      <c r="A12" s="575"/>
      <c r="B12" s="67" t="s">
        <v>21</v>
      </c>
      <c r="C12" s="191">
        <f>COUNTIFS('Quadro Geral'!$D:$D,'Matriz de Obj. Estrat.'!$B12,'Quadro Geral'!$B:$B,"P")</f>
        <v>0</v>
      </c>
      <c r="D12" s="192">
        <f>SUMIFS('Quadro Geral'!$H:$H,'Quadro Geral'!$D:$D,'Matriz de Obj. Estrat.'!$B12,'Quadro Geral'!$B:$B,"P")</f>
        <v>0</v>
      </c>
      <c r="E12" s="191">
        <f>COUNTIFS('Quadro Geral'!$D:$D,'Matriz de Obj. Estrat.'!$B12,'Quadro Geral'!$B:$B,"PE")</f>
        <v>0</v>
      </c>
      <c r="F12" s="192">
        <f>SUMIFS('Quadro Geral'!$H:$H,'Quadro Geral'!$D:$D,'Matriz de Obj. Estrat.'!$B12,'Quadro Geral'!$B:$B,"PE")</f>
        <v>0</v>
      </c>
      <c r="G12" s="191">
        <f>COUNTIFS('Quadro Geral'!$D:$D,'Matriz de Obj. Estrat.'!$B12,'Quadro Geral'!$B:$B,"A")</f>
        <v>0</v>
      </c>
      <c r="H12" s="192">
        <f>SUMIFS('Quadro Geral'!$H:$H,'Quadro Geral'!$D:$D,'Matriz de Obj. Estrat.'!$B12,'Quadro Geral'!$B:$B,"A")</f>
        <v>0</v>
      </c>
      <c r="I12" s="191">
        <f t="shared" si="1"/>
        <v>0</v>
      </c>
      <c r="J12" s="192">
        <f t="shared" si="2"/>
        <v>0</v>
      </c>
      <c r="K12" s="193">
        <f t="shared" si="0"/>
        <v>0</v>
      </c>
    </row>
    <row r="13" spans="1:13" ht="30.75" customHeight="1">
      <c r="A13" s="575"/>
      <c r="B13" s="67" t="s">
        <v>22</v>
      </c>
      <c r="C13" s="191">
        <f>COUNTIFS('Quadro Geral'!$D:$D,'Matriz de Obj. Estrat.'!$B13,'Quadro Geral'!$B:$B,"P")</f>
        <v>1</v>
      </c>
      <c r="D13" s="192">
        <f>SUMIFS('Quadro Geral'!$H:$H,'Quadro Geral'!$D:$D,'Matriz de Obj. Estrat.'!$B13,'Quadro Geral'!$B:$B,"P")</f>
        <v>65450</v>
      </c>
      <c r="E13" s="191">
        <f>COUNTIFS('Quadro Geral'!$D:$D,'Matriz de Obj. Estrat.'!$B13,'Quadro Geral'!$B:$B,"PE")</f>
        <v>0</v>
      </c>
      <c r="F13" s="192">
        <f>SUMIFS('Quadro Geral'!$H:$H,'Quadro Geral'!$D:$D,'Matriz de Obj. Estrat.'!$B13,'Quadro Geral'!$B:$B,"PE")</f>
        <v>0</v>
      </c>
      <c r="G13" s="191">
        <f>COUNTIFS('Quadro Geral'!$D:$D,'Matriz de Obj. Estrat.'!$B13,'Quadro Geral'!$B:$B,"A")</f>
        <v>0</v>
      </c>
      <c r="H13" s="192">
        <f>SUMIFS('Quadro Geral'!$H:$H,'Quadro Geral'!$D:$D,'Matriz de Obj. Estrat.'!$B13,'Quadro Geral'!$B:$B,"A")</f>
        <v>0</v>
      </c>
      <c r="I13" s="191">
        <f t="shared" si="1"/>
        <v>1</v>
      </c>
      <c r="J13" s="192">
        <f t="shared" si="2"/>
        <v>65450</v>
      </c>
      <c r="K13" s="193">
        <f t="shared" si="0"/>
        <v>1.795830413233968</v>
      </c>
    </row>
    <row r="14" spans="1:13" ht="30.75" customHeight="1">
      <c r="A14" s="575"/>
      <c r="B14" s="67" t="s">
        <v>23</v>
      </c>
      <c r="C14" s="191">
        <f>COUNTIFS('Quadro Geral'!$D:$D,'Matriz de Obj. Estrat.'!$B14,'Quadro Geral'!$B:$B,"P")</f>
        <v>0</v>
      </c>
      <c r="D14" s="192">
        <f>SUMIFS('Quadro Geral'!$H:$H,'Quadro Geral'!$D:$D,'Matriz de Obj. Estrat.'!$B14,'Quadro Geral'!$B:$B,"P")</f>
        <v>0</v>
      </c>
      <c r="E14" s="191">
        <f>COUNTIFS('Quadro Geral'!$D:$D,'Matriz de Obj. Estrat.'!$B14,'Quadro Geral'!$B:$B,"PE")</f>
        <v>0</v>
      </c>
      <c r="F14" s="192">
        <f>SUMIFS('Quadro Geral'!$H:$H,'Quadro Geral'!$D:$D,'Matriz de Obj. Estrat.'!$B14,'Quadro Geral'!$B:$B,"PE")</f>
        <v>0</v>
      </c>
      <c r="G14" s="191">
        <f>COUNTIFS('Quadro Geral'!$D:$D,'Matriz de Obj. Estrat.'!$B14,'Quadro Geral'!$B:$B,"A")</f>
        <v>2</v>
      </c>
      <c r="H14" s="192">
        <f>SUMIFS('Quadro Geral'!$H:$H,'Quadro Geral'!$D:$D,'Matriz de Obj. Estrat.'!$B14,'Quadro Geral'!$B:$B,"A")</f>
        <v>75501.399999999994</v>
      </c>
      <c r="I14" s="191">
        <f t="shared" si="1"/>
        <v>2</v>
      </c>
      <c r="J14" s="192">
        <f t="shared" si="2"/>
        <v>75501.399999999994</v>
      </c>
      <c r="K14" s="193">
        <f t="shared" si="0"/>
        <v>2.0716227709968384</v>
      </c>
    </row>
    <row r="15" spans="1:13" ht="30.75" customHeight="1">
      <c r="A15" s="575"/>
      <c r="B15" s="67" t="s">
        <v>24</v>
      </c>
      <c r="C15" s="191">
        <f>COUNTIFS('Quadro Geral'!$D:$D,'Matriz de Obj. Estrat.'!$B15,'Quadro Geral'!$B:$B,"P")</f>
        <v>0</v>
      </c>
      <c r="D15" s="192">
        <f>SUMIFS('Quadro Geral'!$H:$H,'Quadro Geral'!$D:$D,'Matriz de Obj. Estrat.'!$B15,'Quadro Geral'!$B:$B,"P")</f>
        <v>0</v>
      </c>
      <c r="E15" s="191">
        <f>COUNTIFS('Quadro Geral'!$D:$D,'Matriz de Obj. Estrat.'!$B15,'Quadro Geral'!$B:$B,"PE")</f>
        <v>0</v>
      </c>
      <c r="F15" s="192">
        <f>SUMIFS('Quadro Geral'!$H:$H,'Quadro Geral'!$D:$D,'Matriz de Obj. Estrat.'!$B15,'Quadro Geral'!$B:$B,"PE")</f>
        <v>0</v>
      </c>
      <c r="G15" s="191">
        <f>COUNTIFS('Quadro Geral'!$D:$D,'Matriz de Obj. Estrat.'!$B15,'Quadro Geral'!$B:$B,"A")</f>
        <v>1</v>
      </c>
      <c r="H15" s="192">
        <f>SUMIFS('Quadro Geral'!$H:$H,'Quadro Geral'!$D:$D,'Matriz de Obj. Estrat.'!$B15,'Quadro Geral'!$B:$B,"A")</f>
        <v>1393012.78</v>
      </c>
      <c r="I15" s="191">
        <f t="shared" si="1"/>
        <v>1</v>
      </c>
      <c r="J15" s="192">
        <f t="shared" si="2"/>
        <v>1393012.78</v>
      </c>
      <c r="K15" s="193">
        <f t="shared" si="0"/>
        <v>38.221768011422434</v>
      </c>
    </row>
    <row r="16" spans="1:13" ht="30.75" customHeight="1">
      <c r="A16" s="576" t="s">
        <v>286</v>
      </c>
      <c r="B16" s="67" t="s">
        <v>25</v>
      </c>
      <c r="C16" s="191">
        <f>COUNTIFS('Quadro Geral'!$D:$D,'Matriz de Obj. Estrat.'!$B16,'Quadro Geral'!$B:$B,"P")</f>
        <v>0</v>
      </c>
      <c r="D16" s="192">
        <f>SUMIFS('Quadro Geral'!$H:$H,'Quadro Geral'!$D:$D,'Matriz de Obj. Estrat.'!$B16,'Quadro Geral'!$B:$B,"P")</f>
        <v>0</v>
      </c>
      <c r="E16" s="191">
        <f>COUNTIFS('Quadro Geral'!$D:$D,'Matriz de Obj. Estrat.'!$B16,'Quadro Geral'!$B:$B,"PE")</f>
        <v>0</v>
      </c>
      <c r="F16" s="192">
        <f>SUMIFS('Quadro Geral'!$H:$H,'Quadro Geral'!$D:$D,'Matriz de Obj. Estrat.'!$B16,'Quadro Geral'!$B:$B,"PE")</f>
        <v>0</v>
      </c>
      <c r="G16" s="191">
        <f>COUNTIFS('Quadro Geral'!$D:$D,'Matriz de Obj. Estrat.'!$B16,'Quadro Geral'!$B:$B,"A")</f>
        <v>1</v>
      </c>
      <c r="H16" s="192">
        <f>SUMIFS('Quadro Geral'!$H:$H,'Quadro Geral'!$D:$D,'Matriz de Obj. Estrat.'!$B16,'Quadro Geral'!$B:$B,"A")</f>
        <v>33915.629999999997</v>
      </c>
      <c r="I16" s="191">
        <f t="shared" si="1"/>
        <v>1</v>
      </c>
      <c r="J16" s="192">
        <f t="shared" si="2"/>
        <v>33915.629999999997</v>
      </c>
      <c r="K16" s="193">
        <f t="shared" si="0"/>
        <v>0.93058395474393207</v>
      </c>
    </row>
    <row r="17" spans="1:12" ht="30.75" customHeight="1">
      <c r="A17" s="576"/>
      <c r="B17" s="67" t="s">
        <v>26</v>
      </c>
      <c r="C17" s="191">
        <f>COUNTIFS('Quadro Geral'!$D:$D,'Matriz de Obj. Estrat.'!$B17,'Quadro Geral'!$B:$B,"P")</f>
        <v>0</v>
      </c>
      <c r="D17" s="192">
        <f>SUMIFS('Quadro Geral'!$H:$H,'Quadro Geral'!$D:$D,'Matriz de Obj. Estrat.'!$B17,'Quadro Geral'!$B:$B,"P")</f>
        <v>0</v>
      </c>
      <c r="E17" s="191">
        <f>COUNTIFS('Quadro Geral'!$D:$D,'Matriz de Obj. Estrat.'!$B17,'Quadro Geral'!$B:$B,"PE")</f>
        <v>0</v>
      </c>
      <c r="F17" s="192">
        <f>SUMIFS('Quadro Geral'!$H:$H,'Quadro Geral'!$D:$D,'Matriz de Obj. Estrat.'!$B17,'Quadro Geral'!$B:$B,"PE")</f>
        <v>0</v>
      </c>
      <c r="G17" s="191">
        <f>COUNTIFS('Quadro Geral'!$D:$D,'Matriz de Obj. Estrat.'!$B17,'Quadro Geral'!$B:$B,"A")</f>
        <v>0</v>
      </c>
      <c r="H17" s="192">
        <f>SUMIFS('Quadro Geral'!$H:$H,'Quadro Geral'!$D:$D,'Matriz de Obj. Estrat.'!$B17,'Quadro Geral'!$B:$B,"A")</f>
        <v>0</v>
      </c>
      <c r="I17" s="191">
        <f t="shared" si="1"/>
        <v>0</v>
      </c>
      <c r="J17" s="192">
        <f t="shared" si="2"/>
        <v>0</v>
      </c>
      <c r="K17" s="193">
        <f t="shared" si="0"/>
        <v>0</v>
      </c>
    </row>
    <row r="18" spans="1:12" ht="30.75" customHeight="1">
      <c r="A18" s="576"/>
      <c r="B18" s="67" t="s">
        <v>27</v>
      </c>
      <c r="C18" s="191">
        <f>COUNTIFS('Quadro Geral'!$D:$D,'Matriz de Obj. Estrat.'!$B18,'Quadro Geral'!$B:$B,"P")</f>
        <v>1</v>
      </c>
      <c r="D18" s="192">
        <f>SUMIFS('Quadro Geral'!$H:$H,'Quadro Geral'!$D:$D,'Matriz de Obj. Estrat.'!$B18,'Quadro Geral'!$B:$B,"P")</f>
        <v>11880</v>
      </c>
      <c r="E18" s="191">
        <f>COUNTIFS('Quadro Geral'!$D:$D,'Matriz de Obj. Estrat.'!$B18,'Quadro Geral'!$B:$B,"PE")</f>
        <v>0</v>
      </c>
      <c r="F18" s="192">
        <f>SUMIFS('Quadro Geral'!$H:$H,'Quadro Geral'!$D:$D,'Matriz de Obj. Estrat.'!$B18,'Quadro Geral'!$B:$B,"PE")</f>
        <v>0</v>
      </c>
      <c r="G18" s="191">
        <f>COUNTIFS('Quadro Geral'!$D:$D,'Matriz de Obj. Estrat.'!$B18,'Quadro Geral'!$B:$B,"A")</f>
        <v>0</v>
      </c>
      <c r="H18" s="192">
        <f>SUMIFS('Quadro Geral'!$H:$H,'Quadro Geral'!$D:$D,'Matriz de Obj. Estrat.'!$B18,'Quadro Geral'!$B:$B,"A")</f>
        <v>0</v>
      </c>
      <c r="I18" s="191">
        <f t="shared" si="1"/>
        <v>1</v>
      </c>
      <c r="J18" s="192">
        <f t="shared" si="2"/>
        <v>11880</v>
      </c>
      <c r="K18" s="193">
        <f t="shared" si="0"/>
        <v>0.32596585651977905</v>
      </c>
    </row>
    <row r="19" spans="1:12">
      <c r="A19" s="577" t="s">
        <v>3</v>
      </c>
      <c r="B19" s="577"/>
      <c r="C19" s="78">
        <f>SUM(C3:C18)</f>
        <v>3</v>
      </c>
      <c r="D19" s="78">
        <f t="shared" ref="D19:J19" si="3">SUM(D3:D18)</f>
        <v>111711.18</v>
      </c>
      <c r="E19" s="78">
        <f t="shared" si="3"/>
        <v>1</v>
      </c>
      <c r="F19" s="78">
        <f t="shared" si="3"/>
        <v>50000</v>
      </c>
      <c r="G19" s="78">
        <f t="shared" si="3"/>
        <v>10</v>
      </c>
      <c r="H19" s="78">
        <f t="shared" si="3"/>
        <v>3482842.31</v>
      </c>
      <c r="I19" s="78">
        <f t="shared" si="3"/>
        <v>14</v>
      </c>
      <c r="J19" s="78">
        <f t="shared" si="3"/>
        <v>3644553.49</v>
      </c>
      <c r="K19" s="79">
        <f>SUM(K3:K18)</f>
        <v>100</v>
      </c>
      <c r="L19" s="66"/>
    </row>
    <row r="20" spans="1:12">
      <c r="D20" s="75"/>
      <c r="E20" s="70"/>
      <c r="F20" s="75"/>
      <c r="G20" s="71"/>
      <c r="H20" s="75"/>
      <c r="I20" s="71"/>
      <c r="J20" s="80">
        <f>'Quadro Geral'!H81</f>
        <v>3644553.4899999993</v>
      </c>
    </row>
    <row r="21" spans="1:12">
      <c r="C21" s="72"/>
      <c r="G21" s="72"/>
      <c r="J21" s="80" t="b">
        <f>J20=J19</f>
        <v>1</v>
      </c>
    </row>
    <row r="22" spans="1:12" hidden="1">
      <c r="E22" s="73"/>
    </row>
    <row r="23" spans="1:12" hidden="1">
      <c r="E23" s="73"/>
      <c r="G23" s="72"/>
    </row>
    <row r="24" spans="1:12" hidden="1">
      <c r="E24" s="73"/>
    </row>
    <row r="25" spans="1:12" hidden="1">
      <c r="A25" s="69"/>
      <c r="I25" s="72"/>
    </row>
    <row r="26" spans="1:12" hidden="1">
      <c r="A26" s="69"/>
      <c r="G26" s="73"/>
      <c r="I26" s="72"/>
    </row>
  </sheetData>
  <mergeCells count="11">
    <mergeCell ref="A16:A18"/>
    <mergeCell ref="A19:B19"/>
    <mergeCell ref="E1:F1"/>
    <mergeCell ref="A1:A2"/>
    <mergeCell ref="B1:B2"/>
    <mergeCell ref="C1:D1"/>
    <mergeCell ref="G1:H1"/>
    <mergeCell ref="I1:J1"/>
    <mergeCell ref="K1:K2"/>
    <mergeCell ref="A3:A4"/>
    <mergeCell ref="A5:A15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73"/>
  <sheetViews>
    <sheetView showGridLines="0" topLeftCell="A31" zoomScale="80" zoomScaleNormal="80" workbookViewId="0">
      <selection activeCell="L29" sqref="L29"/>
    </sheetView>
  </sheetViews>
  <sheetFormatPr defaultRowHeight="15"/>
  <cols>
    <col min="1" max="1" width="47.140625" style="1" customWidth="1"/>
    <col min="2" max="2" width="1" style="1" customWidth="1"/>
    <col min="3" max="3" width="3.28515625" style="1" customWidth="1"/>
    <col min="4" max="4" width="0.140625" style="1" customWidth="1"/>
    <col min="5" max="5" width="1" style="1" customWidth="1"/>
    <col min="6" max="6" width="16.140625" style="1" customWidth="1"/>
    <col min="7" max="7" width="17.140625" style="1" customWidth="1"/>
    <col min="8" max="8" width="1.7109375" style="1" customWidth="1"/>
    <col min="9" max="9" width="11.5703125" style="1" customWidth="1"/>
    <col min="10" max="10" width="4" style="1" customWidth="1"/>
    <col min="11" max="11" width="17.140625" style="1" customWidth="1"/>
    <col min="12" max="13" width="17.28515625" style="1" customWidth="1"/>
    <col min="14" max="14" width="9.140625" style="1"/>
    <col min="15" max="15" width="10.5703125" style="1" bestFit="1" customWidth="1"/>
    <col min="16" max="256" width="9.140625" style="1"/>
    <col min="257" max="257" width="47.140625" style="1" customWidth="1"/>
    <col min="258" max="258" width="1" style="1" customWidth="1"/>
    <col min="259" max="259" width="3.28515625" style="1" customWidth="1"/>
    <col min="260" max="260" width="0.140625" style="1" customWidth="1"/>
    <col min="261" max="261" width="1" style="1" customWidth="1"/>
    <col min="262" max="262" width="16.140625" style="1" customWidth="1"/>
    <col min="263" max="263" width="17.140625" style="1" customWidth="1"/>
    <col min="264" max="264" width="1.7109375" style="1" customWidth="1"/>
    <col min="265" max="265" width="11.5703125" style="1" customWidth="1"/>
    <col min="266" max="266" width="4" style="1" customWidth="1"/>
    <col min="267" max="267" width="17.140625" style="1" customWidth="1"/>
    <col min="268" max="269" width="17.28515625" style="1" customWidth="1"/>
    <col min="270" max="270" width="9.140625" style="1"/>
    <col min="271" max="271" width="10.5703125" style="1" bestFit="1" customWidth="1"/>
    <col min="272" max="512" width="9.140625" style="1"/>
    <col min="513" max="513" width="47.140625" style="1" customWidth="1"/>
    <col min="514" max="514" width="1" style="1" customWidth="1"/>
    <col min="515" max="515" width="3.28515625" style="1" customWidth="1"/>
    <col min="516" max="516" width="0.140625" style="1" customWidth="1"/>
    <col min="517" max="517" width="1" style="1" customWidth="1"/>
    <col min="518" max="518" width="16.140625" style="1" customWidth="1"/>
    <col min="519" max="519" width="17.140625" style="1" customWidth="1"/>
    <col min="520" max="520" width="1.7109375" style="1" customWidth="1"/>
    <col min="521" max="521" width="11.5703125" style="1" customWidth="1"/>
    <col min="522" max="522" width="4" style="1" customWidth="1"/>
    <col min="523" max="523" width="17.140625" style="1" customWidth="1"/>
    <col min="524" max="525" width="17.28515625" style="1" customWidth="1"/>
    <col min="526" max="526" width="9.140625" style="1"/>
    <col min="527" max="527" width="10.5703125" style="1" bestFit="1" customWidth="1"/>
    <col min="528" max="768" width="9.140625" style="1"/>
    <col min="769" max="769" width="47.140625" style="1" customWidth="1"/>
    <col min="770" max="770" width="1" style="1" customWidth="1"/>
    <col min="771" max="771" width="3.28515625" style="1" customWidth="1"/>
    <col min="772" max="772" width="0.140625" style="1" customWidth="1"/>
    <col min="773" max="773" width="1" style="1" customWidth="1"/>
    <col min="774" max="774" width="16.140625" style="1" customWidth="1"/>
    <col min="775" max="775" width="17.140625" style="1" customWidth="1"/>
    <col min="776" max="776" width="1.7109375" style="1" customWidth="1"/>
    <col min="777" max="777" width="11.5703125" style="1" customWidth="1"/>
    <col min="778" max="778" width="4" style="1" customWidth="1"/>
    <col min="779" max="779" width="17.140625" style="1" customWidth="1"/>
    <col min="780" max="781" width="17.28515625" style="1" customWidth="1"/>
    <col min="782" max="782" width="9.140625" style="1"/>
    <col min="783" max="783" width="10.5703125" style="1" bestFit="1" customWidth="1"/>
    <col min="784" max="1024" width="9.140625" style="1"/>
    <col min="1025" max="1025" width="47.140625" style="1" customWidth="1"/>
    <col min="1026" max="1026" width="1" style="1" customWidth="1"/>
    <col min="1027" max="1027" width="3.28515625" style="1" customWidth="1"/>
    <col min="1028" max="1028" width="0.140625" style="1" customWidth="1"/>
    <col min="1029" max="1029" width="1" style="1" customWidth="1"/>
    <col min="1030" max="1030" width="16.140625" style="1" customWidth="1"/>
    <col min="1031" max="1031" width="17.140625" style="1" customWidth="1"/>
    <col min="1032" max="1032" width="1.7109375" style="1" customWidth="1"/>
    <col min="1033" max="1033" width="11.5703125" style="1" customWidth="1"/>
    <col min="1034" max="1034" width="4" style="1" customWidth="1"/>
    <col min="1035" max="1035" width="17.140625" style="1" customWidth="1"/>
    <col min="1036" max="1037" width="17.28515625" style="1" customWidth="1"/>
    <col min="1038" max="1038" width="9.140625" style="1"/>
    <col min="1039" max="1039" width="10.5703125" style="1" bestFit="1" customWidth="1"/>
    <col min="1040" max="1280" width="9.140625" style="1"/>
    <col min="1281" max="1281" width="47.140625" style="1" customWidth="1"/>
    <col min="1282" max="1282" width="1" style="1" customWidth="1"/>
    <col min="1283" max="1283" width="3.28515625" style="1" customWidth="1"/>
    <col min="1284" max="1284" width="0.140625" style="1" customWidth="1"/>
    <col min="1285" max="1285" width="1" style="1" customWidth="1"/>
    <col min="1286" max="1286" width="16.140625" style="1" customWidth="1"/>
    <col min="1287" max="1287" width="17.140625" style="1" customWidth="1"/>
    <col min="1288" max="1288" width="1.7109375" style="1" customWidth="1"/>
    <col min="1289" max="1289" width="11.5703125" style="1" customWidth="1"/>
    <col min="1290" max="1290" width="4" style="1" customWidth="1"/>
    <col min="1291" max="1291" width="17.140625" style="1" customWidth="1"/>
    <col min="1292" max="1293" width="17.28515625" style="1" customWidth="1"/>
    <col min="1294" max="1294" width="9.140625" style="1"/>
    <col min="1295" max="1295" width="10.5703125" style="1" bestFit="1" customWidth="1"/>
    <col min="1296" max="1536" width="9.140625" style="1"/>
    <col min="1537" max="1537" width="47.140625" style="1" customWidth="1"/>
    <col min="1538" max="1538" width="1" style="1" customWidth="1"/>
    <col min="1539" max="1539" width="3.28515625" style="1" customWidth="1"/>
    <col min="1540" max="1540" width="0.140625" style="1" customWidth="1"/>
    <col min="1541" max="1541" width="1" style="1" customWidth="1"/>
    <col min="1542" max="1542" width="16.140625" style="1" customWidth="1"/>
    <col min="1543" max="1543" width="17.140625" style="1" customWidth="1"/>
    <col min="1544" max="1544" width="1.7109375" style="1" customWidth="1"/>
    <col min="1545" max="1545" width="11.5703125" style="1" customWidth="1"/>
    <col min="1546" max="1546" width="4" style="1" customWidth="1"/>
    <col min="1547" max="1547" width="17.140625" style="1" customWidth="1"/>
    <col min="1548" max="1549" width="17.28515625" style="1" customWidth="1"/>
    <col min="1550" max="1550" width="9.140625" style="1"/>
    <col min="1551" max="1551" width="10.5703125" style="1" bestFit="1" customWidth="1"/>
    <col min="1552" max="1792" width="9.140625" style="1"/>
    <col min="1793" max="1793" width="47.140625" style="1" customWidth="1"/>
    <col min="1794" max="1794" width="1" style="1" customWidth="1"/>
    <col min="1795" max="1795" width="3.28515625" style="1" customWidth="1"/>
    <col min="1796" max="1796" width="0.140625" style="1" customWidth="1"/>
    <col min="1797" max="1797" width="1" style="1" customWidth="1"/>
    <col min="1798" max="1798" width="16.140625" style="1" customWidth="1"/>
    <col min="1799" max="1799" width="17.140625" style="1" customWidth="1"/>
    <col min="1800" max="1800" width="1.7109375" style="1" customWidth="1"/>
    <col min="1801" max="1801" width="11.5703125" style="1" customWidth="1"/>
    <col min="1802" max="1802" width="4" style="1" customWidth="1"/>
    <col min="1803" max="1803" width="17.140625" style="1" customWidth="1"/>
    <col min="1804" max="1805" width="17.28515625" style="1" customWidth="1"/>
    <col min="1806" max="1806" width="9.140625" style="1"/>
    <col min="1807" max="1807" width="10.5703125" style="1" bestFit="1" customWidth="1"/>
    <col min="1808" max="2048" width="9.140625" style="1"/>
    <col min="2049" max="2049" width="47.140625" style="1" customWidth="1"/>
    <col min="2050" max="2050" width="1" style="1" customWidth="1"/>
    <col min="2051" max="2051" width="3.28515625" style="1" customWidth="1"/>
    <col min="2052" max="2052" width="0.140625" style="1" customWidth="1"/>
    <col min="2053" max="2053" width="1" style="1" customWidth="1"/>
    <col min="2054" max="2054" width="16.140625" style="1" customWidth="1"/>
    <col min="2055" max="2055" width="17.140625" style="1" customWidth="1"/>
    <col min="2056" max="2056" width="1.7109375" style="1" customWidth="1"/>
    <col min="2057" max="2057" width="11.5703125" style="1" customWidth="1"/>
    <col min="2058" max="2058" width="4" style="1" customWidth="1"/>
    <col min="2059" max="2059" width="17.140625" style="1" customWidth="1"/>
    <col min="2060" max="2061" width="17.28515625" style="1" customWidth="1"/>
    <col min="2062" max="2062" width="9.140625" style="1"/>
    <col min="2063" max="2063" width="10.5703125" style="1" bestFit="1" customWidth="1"/>
    <col min="2064" max="2304" width="9.140625" style="1"/>
    <col min="2305" max="2305" width="47.140625" style="1" customWidth="1"/>
    <col min="2306" max="2306" width="1" style="1" customWidth="1"/>
    <col min="2307" max="2307" width="3.28515625" style="1" customWidth="1"/>
    <col min="2308" max="2308" width="0.140625" style="1" customWidth="1"/>
    <col min="2309" max="2309" width="1" style="1" customWidth="1"/>
    <col min="2310" max="2310" width="16.140625" style="1" customWidth="1"/>
    <col min="2311" max="2311" width="17.140625" style="1" customWidth="1"/>
    <col min="2312" max="2312" width="1.7109375" style="1" customWidth="1"/>
    <col min="2313" max="2313" width="11.5703125" style="1" customWidth="1"/>
    <col min="2314" max="2314" width="4" style="1" customWidth="1"/>
    <col min="2315" max="2315" width="17.140625" style="1" customWidth="1"/>
    <col min="2316" max="2317" width="17.28515625" style="1" customWidth="1"/>
    <col min="2318" max="2318" width="9.140625" style="1"/>
    <col min="2319" max="2319" width="10.5703125" style="1" bestFit="1" customWidth="1"/>
    <col min="2320" max="2560" width="9.140625" style="1"/>
    <col min="2561" max="2561" width="47.140625" style="1" customWidth="1"/>
    <col min="2562" max="2562" width="1" style="1" customWidth="1"/>
    <col min="2563" max="2563" width="3.28515625" style="1" customWidth="1"/>
    <col min="2564" max="2564" width="0.140625" style="1" customWidth="1"/>
    <col min="2565" max="2565" width="1" style="1" customWidth="1"/>
    <col min="2566" max="2566" width="16.140625" style="1" customWidth="1"/>
    <col min="2567" max="2567" width="17.140625" style="1" customWidth="1"/>
    <col min="2568" max="2568" width="1.7109375" style="1" customWidth="1"/>
    <col min="2569" max="2569" width="11.5703125" style="1" customWidth="1"/>
    <col min="2570" max="2570" width="4" style="1" customWidth="1"/>
    <col min="2571" max="2571" width="17.140625" style="1" customWidth="1"/>
    <col min="2572" max="2573" width="17.28515625" style="1" customWidth="1"/>
    <col min="2574" max="2574" width="9.140625" style="1"/>
    <col min="2575" max="2575" width="10.5703125" style="1" bestFit="1" customWidth="1"/>
    <col min="2576" max="2816" width="9.140625" style="1"/>
    <col min="2817" max="2817" width="47.140625" style="1" customWidth="1"/>
    <col min="2818" max="2818" width="1" style="1" customWidth="1"/>
    <col min="2819" max="2819" width="3.28515625" style="1" customWidth="1"/>
    <col min="2820" max="2820" width="0.140625" style="1" customWidth="1"/>
    <col min="2821" max="2821" width="1" style="1" customWidth="1"/>
    <col min="2822" max="2822" width="16.140625" style="1" customWidth="1"/>
    <col min="2823" max="2823" width="17.140625" style="1" customWidth="1"/>
    <col min="2824" max="2824" width="1.7109375" style="1" customWidth="1"/>
    <col min="2825" max="2825" width="11.5703125" style="1" customWidth="1"/>
    <col min="2826" max="2826" width="4" style="1" customWidth="1"/>
    <col min="2827" max="2827" width="17.140625" style="1" customWidth="1"/>
    <col min="2828" max="2829" width="17.28515625" style="1" customWidth="1"/>
    <col min="2830" max="2830" width="9.140625" style="1"/>
    <col min="2831" max="2831" width="10.5703125" style="1" bestFit="1" customWidth="1"/>
    <col min="2832" max="3072" width="9.140625" style="1"/>
    <col min="3073" max="3073" width="47.140625" style="1" customWidth="1"/>
    <col min="3074" max="3074" width="1" style="1" customWidth="1"/>
    <col min="3075" max="3075" width="3.28515625" style="1" customWidth="1"/>
    <col min="3076" max="3076" width="0.140625" style="1" customWidth="1"/>
    <col min="3077" max="3077" width="1" style="1" customWidth="1"/>
    <col min="3078" max="3078" width="16.140625" style="1" customWidth="1"/>
    <col min="3079" max="3079" width="17.140625" style="1" customWidth="1"/>
    <col min="3080" max="3080" width="1.7109375" style="1" customWidth="1"/>
    <col min="3081" max="3081" width="11.5703125" style="1" customWidth="1"/>
    <col min="3082" max="3082" width="4" style="1" customWidth="1"/>
    <col min="3083" max="3083" width="17.140625" style="1" customWidth="1"/>
    <col min="3084" max="3085" width="17.28515625" style="1" customWidth="1"/>
    <col min="3086" max="3086" width="9.140625" style="1"/>
    <col min="3087" max="3087" width="10.5703125" style="1" bestFit="1" customWidth="1"/>
    <col min="3088" max="3328" width="9.140625" style="1"/>
    <col min="3329" max="3329" width="47.140625" style="1" customWidth="1"/>
    <col min="3330" max="3330" width="1" style="1" customWidth="1"/>
    <col min="3331" max="3331" width="3.28515625" style="1" customWidth="1"/>
    <col min="3332" max="3332" width="0.140625" style="1" customWidth="1"/>
    <col min="3333" max="3333" width="1" style="1" customWidth="1"/>
    <col min="3334" max="3334" width="16.140625" style="1" customWidth="1"/>
    <col min="3335" max="3335" width="17.140625" style="1" customWidth="1"/>
    <col min="3336" max="3336" width="1.7109375" style="1" customWidth="1"/>
    <col min="3337" max="3337" width="11.5703125" style="1" customWidth="1"/>
    <col min="3338" max="3338" width="4" style="1" customWidth="1"/>
    <col min="3339" max="3339" width="17.140625" style="1" customWidth="1"/>
    <col min="3340" max="3341" width="17.28515625" style="1" customWidth="1"/>
    <col min="3342" max="3342" width="9.140625" style="1"/>
    <col min="3343" max="3343" width="10.5703125" style="1" bestFit="1" customWidth="1"/>
    <col min="3344" max="3584" width="9.140625" style="1"/>
    <col min="3585" max="3585" width="47.140625" style="1" customWidth="1"/>
    <col min="3586" max="3586" width="1" style="1" customWidth="1"/>
    <col min="3587" max="3587" width="3.28515625" style="1" customWidth="1"/>
    <col min="3588" max="3588" width="0.140625" style="1" customWidth="1"/>
    <col min="3589" max="3589" width="1" style="1" customWidth="1"/>
    <col min="3590" max="3590" width="16.140625" style="1" customWidth="1"/>
    <col min="3591" max="3591" width="17.140625" style="1" customWidth="1"/>
    <col min="3592" max="3592" width="1.7109375" style="1" customWidth="1"/>
    <col min="3593" max="3593" width="11.5703125" style="1" customWidth="1"/>
    <col min="3594" max="3594" width="4" style="1" customWidth="1"/>
    <col min="3595" max="3595" width="17.140625" style="1" customWidth="1"/>
    <col min="3596" max="3597" width="17.28515625" style="1" customWidth="1"/>
    <col min="3598" max="3598" width="9.140625" style="1"/>
    <col min="3599" max="3599" width="10.5703125" style="1" bestFit="1" customWidth="1"/>
    <col min="3600" max="3840" width="9.140625" style="1"/>
    <col min="3841" max="3841" width="47.140625" style="1" customWidth="1"/>
    <col min="3842" max="3842" width="1" style="1" customWidth="1"/>
    <col min="3843" max="3843" width="3.28515625" style="1" customWidth="1"/>
    <col min="3844" max="3844" width="0.140625" style="1" customWidth="1"/>
    <col min="3845" max="3845" width="1" style="1" customWidth="1"/>
    <col min="3846" max="3846" width="16.140625" style="1" customWidth="1"/>
    <col min="3847" max="3847" width="17.140625" style="1" customWidth="1"/>
    <col min="3848" max="3848" width="1.7109375" style="1" customWidth="1"/>
    <col min="3849" max="3849" width="11.5703125" style="1" customWidth="1"/>
    <col min="3850" max="3850" width="4" style="1" customWidth="1"/>
    <col min="3851" max="3851" width="17.140625" style="1" customWidth="1"/>
    <col min="3852" max="3853" width="17.28515625" style="1" customWidth="1"/>
    <col min="3854" max="3854" width="9.140625" style="1"/>
    <col min="3855" max="3855" width="10.5703125" style="1" bestFit="1" customWidth="1"/>
    <col min="3856" max="4096" width="9.140625" style="1"/>
    <col min="4097" max="4097" width="47.140625" style="1" customWidth="1"/>
    <col min="4098" max="4098" width="1" style="1" customWidth="1"/>
    <col min="4099" max="4099" width="3.28515625" style="1" customWidth="1"/>
    <col min="4100" max="4100" width="0.140625" style="1" customWidth="1"/>
    <col min="4101" max="4101" width="1" style="1" customWidth="1"/>
    <col min="4102" max="4102" width="16.140625" style="1" customWidth="1"/>
    <col min="4103" max="4103" width="17.140625" style="1" customWidth="1"/>
    <col min="4104" max="4104" width="1.7109375" style="1" customWidth="1"/>
    <col min="4105" max="4105" width="11.5703125" style="1" customWidth="1"/>
    <col min="4106" max="4106" width="4" style="1" customWidth="1"/>
    <col min="4107" max="4107" width="17.140625" style="1" customWidth="1"/>
    <col min="4108" max="4109" width="17.28515625" style="1" customWidth="1"/>
    <col min="4110" max="4110" width="9.140625" style="1"/>
    <col min="4111" max="4111" width="10.5703125" style="1" bestFit="1" customWidth="1"/>
    <col min="4112" max="4352" width="9.140625" style="1"/>
    <col min="4353" max="4353" width="47.140625" style="1" customWidth="1"/>
    <col min="4354" max="4354" width="1" style="1" customWidth="1"/>
    <col min="4355" max="4355" width="3.28515625" style="1" customWidth="1"/>
    <col min="4356" max="4356" width="0.140625" style="1" customWidth="1"/>
    <col min="4357" max="4357" width="1" style="1" customWidth="1"/>
    <col min="4358" max="4358" width="16.140625" style="1" customWidth="1"/>
    <col min="4359" max="4359" width="17.140625" style="1" customWidth="1"/>
    <col min="4360" max="4360" width="1.7109375" style="1" customWidth="1"/>
    <col min="4361" max="4361" width="11.5703125" style="1" customWidth="1"/>
    <col min="4362" max="4362" width="4" style="1" customWidth="1"/>
    <col min="4363" max="4363" width="17.140625" style="1" customWidth="1"/>
    <col min="4364" max="4365" width="17.28515625" style="1" customWidth="1"/>
    <col min="4366" max="4366" width="9.140625" style="1"/>
    <col min="4367" max="4367" width="10.5703125" style="1" bestFit="1" customWidth="1"/>
    <col min="4368" max="4608" width="9.140625" style="1"/>
    <col min="4609" max="4609" width="47.140625" style="1" customWidth="1"/>
    <col min="4610" max="4610" width="1" style="1" customWidth="1"/>
    <col min="4611" max="4611" width="3.28515625" style="1" customWidth="1"/>
    <col min="4612" max="4612" width="0.140625" style="1" customWidth="1"/>
    <col min="4613" max="4613" width="1" style="1" customWidth="1"/>
    <col min="4614" max="4614" width="16.140625" style="1" customWidth="1"/>
    <col min="4615" max="4615" width="17.140625" style="1" customWidth="1"/>
    <col min="4616" max="4616" width="1.7109375" style="1" customWidth="1"/>
    <col min="4617" max="4617" width="11.5703125" style="1" customWidth="1"/>
    <col min="4618" max="4618" width="4" style="1" customWidth="1"/>
    <col min="4619" max="4619" width="17.140625" style="1" customWidth="1"/>
    <col min="4620" max="4621" width="17.28515625" style="1" customWidth="1"/>
    <col min="4622" max="4622" width="9.140625" style="1"/>
    <col min="4623" max="4623" width="10.5703125" style="1" bestFit="1" customWidth="1"/>
    <col min="4624" max="4864" width="9.140625" style="1"/>
    <col min="4865" max="4865" width="47.140625" style="1" customWidth="1"/>
    <col min="4866" max="4866" width="1" style="1" customWidth="1"/>
    <col min="4867" max="4867" width="3.28515625" style="1" customWidth="1"/>
    <col min="4868" max="4868" width="0.140625" style="1" customWidth="1"/>
    <col min="4869" max="4869" width="1" style="1" customWidth="1"/>
    <col min="4870" max="4870" width="16.140625" style="1" customWidth="1"/>
    <col min="4871" max="4871" width="17.140625" style="1" customWidth="1"/>
    <col min="4872" max="4872" width="1.7109375" style="1" customWidth="1"/>
    <col min="4873" max="4873" width="11.5703125" style="1" customWidth="1"/>
    <col min="4874" max="4874" width="4" style="1" customWidth="1"/>
    <col min="4875" max="4875" width="17.140625" style="1" customWidth="1"/>
    <col min="4876" max="4877" width="17.28515625" style="1" customWidth="1"/>
    <col min="4878" max="4878" width="9.140625" style="1"/>
    <col min="4879" max="4879" width="10.5703125" style="1" bestFit="1" customWidth="1"/>
    <col min="4880" max="5120" width="9.140625" style="1"/>
    <col min="5121" max="5121" width="47.140625" style="1" customWidth="1"/>
    <col min="5122" max="5122" width="1" style="1" customWidth="1"/>
    <col min="5123" max="5123" width="3.28515625" style="1" customWidth="1"/>
    <col min="5124" max="5124" width="0.140625" style="1" customWidth="1"/>
    <col min="5125" max="5125" width="1" style="1" customWidth="1"/>
    <col min="5126" max="5126" width="16.140625" style="1" customWidth="1"/>
    <col min="5127" max="5127" width="17.140625" style="1" customWidth="1"/>
    <col min="5128" max="5128" width="1.7109375" style="1" customWidth="1"/>
    <col min="5129" max="5129" width="11.5703125" style="1" customWidth="1"/>
    <col min="5130" max="5130" width="4" style="1" customWidth="1"/>
    <col min="5131" max="5131" width="17.140625" style="1" customWidth="1"/>
    <col min="5132" max="5133" width="17.28515625" style="1" customWidth="1"/>
    <col min="5134" max="5134" width="9.140625" style="1"/>
    <col min="5135" max="5135" width="10.5703125" style="1" bestFit="1" customWidth="1"/>
    <col min="5136" max="5376" width="9.140625" style="1"/>
    <col min="5377" max="5377" width="47.140625" style="1" customWidth="1"/>
    <col min="5378" max="5378" width="1" style="1" customWidth="1"/>
    <col min="5379" max="5379" width="3.28515625" style="1" customWidth="1"/>
    <col min="5380" max="5380" width="0.140625" style="1" customWidth="1"/>
    <col min="5381" max="5381" width="1" style="1" customWidth="1"/>
    <col min="5382" max="5382" width="16.140625" style="1" customWidth="1"/>
    <col min="5383" max="5383" width="17.140625" style="1" customWidth="1"/>
    <col min="5384" max="5384" width="1.7109375" style="1" customWidth="1"/>
    <col min="5385" max="5385" width="11.5703125" style="1" customWidth="1"/>
    <col min="5386" max="5386" width="4" style="1" customWidth="1"/>
    <col min="5387" max="5387" width="17.140625" style="1" customWidth="1"/>
    <col min="5388" max="5389" width="17.28515625" style="1" customWidth="1"/>
    <col min="5390" max="5390" width="9.140625" style="1"/>
    <col min="5391" max="5391" width="10.5703125" style="1" bestFit="1" customWidth="1"/>
    <col min="5392" max="5632" width="9.140625" style="1"/>
    <col min="5633" max="5633" width="47.140625" style="1" customWidth="1"/>
    <col min="5634" max="5634" width="1" style="1" customWidth="1"/>
    <col min="5635" max="5635" width="3.28515625" style="1" customWidth="1"/>
    <col min="5636" max="5636" width="0.140625" style="1" customWidth="1"/>
    <col min="5637" max="5637" width="1" style="1" customWidth="1"/>
    <col min="5638" max="5638" width="16.140625" style="1" customWidth="1"/>
    <col min="5639" max="5639" width="17.140625" style="1" customWidth="1"/>
    <col min="5640" max="5640" width="1.7109375" style="1" customWidth="1"/>
    <col min="5641" max="5641" width="11.5703125" style="1" customWidth="1"/>
    <col min="5642" max="5642" width="4" style="1" customWidth="1"/>
    <col min="5643" max="5643" width="17.140625" style="1" customWidth="1"/>
    <col min="5644" max="5645" width="17.28515625" style="1" customWidth="1"/>
    <col min="5646" max="5646" width="9.140625" style="1"/>
    <col min="5647" max="5647" width="10.5703125" style="1" bestFit="1" customWidth="1"/>
    <col min="5648" max="5888" width="9.140625" style="1"/>
    <col min="5889" max="5889" width="47.140625" style="1" customWidth="1"/>
    <col min="5890" max="5890" width="1" style="1" customWidth="1"/>
    <col min="5891" max="5891" width="3.28515625" style="1" customWidth="1"/>
    <col min="5892" max="5892" width="0.140625" style="1" customWidth="1"/>
    <col min="5893" max="5893" width="1" style="1" customWidth="1"/>
    <col min="5894" max="5894" width="16.140625" style="1" customWidth="1"/>
    <col min="5895" max="5895" width="17.140625" style="1" customWidth="1"/>
    <col min="5896" max="5896" width="1.7109375" style="1" customWidth="1"/>
    <col min="5897" max="5897" width="11.5703125" style="1" customWidth="1"/>
    <col min="5898" max="5898" width="4" style="1" customWidth="1"/>
    <col min="5899" max="5899" width="17.140625" style="1" customWidth="1"/>
    <col min="5900" max="5901" width="17.28515625" style="1" customWidth="1"/>
    <col min="5902" max="5902" width="9.140625" style="1"/>
    <col min="5903" max="5903" width="10.5703125" style="1" bestFit="1" customWidth="1"/>
    <col min="5904" max="6144" width="9.140625" style="1"/>
    <col min="6145" max="6145" width="47.140625" style="1" customWidth="1"/>
    <col min="6146" max="6146" width="1" style="1" customWidth="1"/>
    <col min="6147" max="6147" width="3.28515625" style="1" customWidth="1"/>
    <col min="6148" max="6148" width="0.140625" style="1" customWidth="1"/>
    <col min="6149" max="6149" width="1" style="1" customWidth="1"/>
    <col min="6150" max="6150" width="16.140625" style="1" customWidth="1"/>
    <col min="6151" max="6151" width="17.140625" style="1" customWidth="1"/>
    <col min="6152" max="6152" width="1.7109375" style="1" customWidth="1"/>
    <col min="6153" max="6153" width="11.5703125" style="1" customWidth="1"/>
    <col min="6154" max="6154" width="4" style="1" customWidth="1"/>
    <col min="6155" max="6155" width="17.140625" style="1" customWidth="1"/>
    <col min="6156" max="6157" width="17.28515625" style="1" customWidth="1"/>
    <col min="6158" max="6158" width="9.140625" style="1"/>
    <col min="6159" max="6159" width="10.5703125" style="1" bestFit="1" customWidth="1"/>
    <col min="6160" max="6400" width="9.140625" style="1"/>
    <col min="6401" max="6401" width="47.140625" style="1" customWidth="1"/>
    <col min="6402" max="6402" width="1" style="1" customWidth="1"/>
    <col min="6403" max="6403" width="3.28515625" style="1" customWidth="1"/>
    <col min="6404" max="6404" width="0.140625" style="1" customWidth="1"/>
    <col min="6405" max="6405" width="1" style="1" customWidth="1"/>
    <col min="6406" max="6406" width="16.140625" style="1" customWidth="1"/>
    <col min="6407" max="6407" width="17.140625" style="1" customWidth="1"/>
    <col min="6408" max="6408" width="1.7109375" style="1" customWidth="1"/>
    <col min="6409" max="6409" width="11.5703125" style="1" customWidth="1"/>
    <col min="6410" max="6410" width="4" style="1" customWidth="1"/>
    <col min="6411" max="6411" width="17.140625" style="1" customWidth="1"/>
    <col min="6412" max="6413" width="17.28515625" style="1" customWidth="1"/>
    <col min="6414" max="6414" width="9.140625" style="1"/>
    <col min="6415" max="6415" width="10.5703125" style="1" bestFit="1" customWidth="1"/>
    <col min="6416" max="6656" width="9.140625" style="1"/>
    <col min="6657" max="6657" width="47.140625" style="1" customWidth="1"/>
    <col min="6658" max="6658" width="1" style="1" customWidth="1"/>
    <col min="6659" max="6659" width="3.28515625" style="1" customWidth="1"/>
    <col min="6660" max="6660" width="0.140625" style="1" customWidth="1"/>
    <col min="6661" max="6661" width="1" style="1" customWidth="1"/>
    <col min="6662" max="6662" width="16.140625" style="1" customWidth="1"/>
    <col min="6663" max="6663" width="17.140625" style="1" customWidth="1"/>
    <col min="6664" max="6664" width="1.7109375" style="1" customWidth="1"/>
    <col min="6665" max="6665" width="11.5703125" style="1" customWidth="1"/>
    <col min="6666" max="6666" width="4" style="1" customWidth="1"/>
    <col min="6667" max="6667" width="17.140625" style="1" customWidth="1"/>
    <col min="6668" max="6669" width="17.28515625" style="1" customWidth="1"/>
    <col min="6670" max="6670" width="9.140625" style="1"/>
    <col min="6671" max="6671" width="10.5703125" style="1" bestFit="1" customWidth="1"/>
    <col min="6672" max="6912" width="9.140625" style="1"/>
    <col min="6913" max="6913" width="47.140625" style="1" customWidth="1"/>
    <col min="6914" max="6914" width="1" style="1" customWidth="1"/>
    <col min="6915" max="6915" width="3.28515625" style="1" customWidth="1"/>
    <col min="6916" max="6916" width="0.140625" style="1" customWidth="1"/>
    <col min="6917" max="6917" width="1" style="1" customWidth="1"/>
    <col min="6918" max="6918" width="16.140625" style="1" customWidth="1"/>
    <col min="6919" max="6919" width="17.140625" style="1" customWidth="1"/>
    <col min="6920" max="6920" width="1.7109375" style="1" customWidth="1"/>
    <col min="6921" max="6921" width="11.5703125" style="1" customWidth="1"/>
    <col min="6922" max="6922" width="4" style="1" customWidth="1"/>
    <col min="6923" max="6923" width="17.140625" style="1" customWidth="1"/>
    <col min="6924" max="6925" width="17.28515625" style="1" customWidth="1"/>
    <col min="6926" max="6926" width="9.140625" style="1"/>
    <col min="6927" max="6927" width="10.5703125" style="1" bestFit="1" customWidth="1"/>
    <col min="6928" max="7168" width="9.140625" style="1"/>
    <col min="7169" max="7169" width="47.140625" style="1" customWidth="1"/>
    <col min="7170" max="7170" width="1" style="1" customWidth="1"/>
    <col min="7171" max="7171" width="3.28515625" style="1" customWidth="1"/>
    <col min="7172" max="7172" width="0.140625" style="1" customWidth="1"/>
    <col min="7173" max="7173" width="1" style="1" customWidth="1"/>
    <col min="7174" max="7174" width="16.140625" style="1" customWidth="1"/>
    <col min="7175" max="7175" width="17.140625" style="1" customWidth="1"/>
    <col min="7176" max="7176" width="1.7109375" style="1" customWidth="1"/>
    <col min="7177" max="7177" width="11.5703125" style="1" customWidth="1"/>
    <col min="7178" max="7178" width="4" style="1" customWidth="1"/>
    <col min="7179" max="7179" width="17.140625" style="1" customWidth="1"/>
    <col min="7180" max="7181" width="17.28515625" style="1" customWidth="1"/>
    <col min="7182" max="7182" width="9.140625" style="1"/>
    <col min="7183" max="7183" width="10.5703125" style="1" bestFit="1" customWidth="1"/>
    <col min="7184" max="7424" width="9.140625" style="1"/>
    <col min="7425" max="7425" width="47.140625" style="1" customWidth="1"/>
    <col min="7426" max="7426" width="1" style="1" customWidth="1"/>
    <col min="7427" max="7427" width="3.28515625" style="1" customWidth="1"/>
    <col min="7428" max="7428" width="0.140625" style="1" customWidth="1"/>
    <col min="7429" max="7429" width="1" style="1" customWidth="1"/>
    <col min="7430" max="7430" width="16.140625" style="1" customWidth="1"/>
    <col min="7431" max="7431" width="17.140625" style="1" customWidth="1"/>
    <col min="7432" max="7432" width="1.7109375" style="1" customWidth="1"/>
    <col min="7433" max="7433" width="11.5703125" style="1" customWidth="1"/>
    <col min="7434" max="7434" width="4" style="1" customWidth="1"/>
    <col min="7435" max="7435" width="17.140625" style="1" customWidth="1"/>
    <col min="7436" max="7437" width="17.28515625" style="1" customWidth="1"/>
    <col min="7438" max="7438" width="9.140625" style="1"/>
    <col min="7439" max="7439" width="10.5703125" style="1" bestFit="1" customWidth="1"/>
    <col min="7440" max="7680" width="9.140625" style="1"/>
    <col min="7681" max="7681" width="47.140625" style="1" customWidth="1"/>
    <col min="7682" max="7682" width="1" style="1" customWidth="1"/>
    <col min="7683" max="7683" width="3.28515625" style="1" customWidth="1"/>
    <col min="7684" max="7684" width="0.140625" style="1" customWidth="1"/>
    <col min="7685" max="7685" width="1" style="1" customWidth="1"/>
    <col min="7686" max="7686" width="16.140625" style="1" customWidth="1"/>
    <col min="7687" max="7687" width="17.140625" style="1" customWidth="1"/>
    <col min="7688" max="7688" width="1.7109375" style="1" customWidth="1"/>
    <col min="7689" max="7689" width="11.5703125" style="1" customWidth="1"/>
    <col min="7690" max="7690" width="4" style="1" customWidth="1"/>
    <col min="7691" max="7691" width="17.140625" style="1" customWidth="1"/>
    <col min="7692" max="7693" width="17.28515625" style="1" customWidth="1"/>
    <col min="7694" max="7694" width="9.140625" style="1"/>
    <col min="7695" max="7695" width="10.5703125" style="1" bestFit="1" customWidth="1"/>
    <col min="7696" max="7936" width="9.140625" style="1"/>
    <col min="7937" max="7937" width="47.140625" style="1" customWidth="1"/>
    <col min="7938" max="7938" width="1" style="1" customWidth="1"/>
    <col min="7939" max="7939" width="3.28515625" style="1" customWidth="1"/>
    <col min="7940" max="7940" width="0.140625" style="1" customWidth="1"/>
    <col min="7941" max="7941" width="1" style="1" customWidth="1"/>
    <col min="7942" max="7942" width="16.140625" style="1" customWidth="1"/>
    <col min="7943" max="7943" width="17.140625" style="1" customWidth="1"/>
    <col min="7944" max="7944" width="1.7109375" style="1" customWidth="1"/>
    <col min="7945" max="7945" width="11.5703125" style="1" customWidth="1"/>
    <col min="7946" max="7946" width="4" style="1" customWidth="1"/>
    <col min="7947" max="7947" width="17.140625" style="1" customWidth="1"/>
    <col min="7948" max="7949" width="17.28515625" style="1" customWidth="1"/>
    <col min="7950" max="7950" width="9.140625" style="1"/>
    <col min="7951" max="7951" width="10.5703125" style="1" bestFit="1" customWidth="1"/>
    <col min="7952" max="8192" width="9.140625" style="1"/>
    <col min="8193" max="8193" width="47.140625" style="1" customWidth="1"/>
    <col min="8194" max="8194" width="1" style="1" customWidth="1"/>
    <col min="8195" max="8195" width="3.28515625" style="1" customWidth="1"/>
    <col min="8196" max="8196" width="0.140625" style="1" customWidth="1"/>
    <col min="8197" max="8197" width="1" style="1" customWidth="1"/>
    <col min="8198" max="8198" width="16.140625" style="1" customWidth="1"/>
    <col min="8199" max="8199" width="17.140625" style="1" customWidth="1"/>
    <col min="8200" max="8200" width="1.7109375" style="1" customWidth="1"/>
    <col min="8201" max="8201" width="11.5703125" style="1" customWidth="1"/>
    <col min="8202" max="8202" width="4" style="1" customWidth="1"/>
    <col min="8203" max="8203" width="17.140625" style="1" customWidth="1"/>
    <col min="8204" max="8205" width="17.28515625" style="1" customWidth="1"/>
    <col min="8206" max="8206" width="9.140625" style="1"/>
    <col min="8207" max="8207" width="10.5703125" style="1" bestFit="1" customWidth="1"/>
    <col min="8208" max="8448" width="9.140625" style="1"/>
    <col min="8449" max="8449" width="47.140625" style="1" customWidth="1"/>
    <col min="8450" max="8450" width="1" style="1" customWidth="1"/>
    <col min="8451" max="8451" width="3.28515625" style="1" customWidth="1"/>
    <col min="8452" max="8452" width="0.140625" style="1" customWidth="1"/>
    <col min="8453" max="8453" width="1" style="1" customWidth="1"/>
    <col min="8454" max="8454" width="16.140625" style="1" customWidth="1"/>
    <col min="8455" max="8455" width="17.140625" style="1" customWidth="1"/>
    <col min="8456" max="8456" width="1.7109375" style="1" customWidth="1"/>
    <col min="8457" max="8457" width="11.5703125" style="1" customWidth="1"/>
    <col min="8458" max="8458" width="4" style="1" customWidth="1"/>
    <col min="8459" max="8459" width="17.140625" style="1" customWidth="1"/>
    <col min="8460" max="8461" width="17.28515625" style="1" customWidth="1"/>
    <col min="8462" max="8462" width="9.140625" style="1"/>
    <col min="8463" max="8463" width="10.5703125" style="1" bestFit="1" customWidth="1"/>
    <col min="8464" max="8704" width="9.140625" style="1"/>
    <col min="8705" max="8705" width="47.140625" style="1" customWidth="1"/>
    <col min="8706" max="8706" width="1" style="1" customWidth="1"/>
    <col min="8707" max="8707" width="3.28515625" style="1" customWidth="1"/>
    <col min="8708" max="8708" width="0.140625" style="1" customWidth="1"/>
    <col min="8709" max="8709" width="1" style="1" customWidth="1"/>
    <col min="8710" max="8710" width="16.140625" style="1" customWidth="1"/>
    <col min="8711" max="8711" width="17.140625" style="1" customWidth="1"/>
    <col min="8712" max="8712" width="1.7109375" style="1" customWidth="1"/>
    <col min="8713" max="8713" width="11.5703125" style="1" customWidth="1"/>
    <col min="8714" max="8714" width="4" style="1" customWidth="1"/>
    <col min="8715" max="8715" width="17.140625" style="1" customWidth="1"/>
    <col min="8716" max="8717" width="17.28515625" style="1" customWidth="1"/>
    <col min="8718" max="8718" width="9.140625" style="1"/>
    <col min="8719" max="8719" width="10.5703125" style="1" bestFit="1" customWidth="1"/>
    <col min="8720" max="8960" width="9.140625" style="1"/>
    <col min="8961" max="8961" width="47.140625" style="1" customWidth="1"/>
    <col min="8962" max="8962" width="1" style="1" customWidth="1"/>
    <col min="8963" max="8963" width="3.28515625" style="1" customWidth="1"/>
    <col min="8964" max="8964" width="0.140625" style="1" customWidth="1"/>
    <col min="8965" max="8965" width="1" style="1" customWidth="1"/>
    <col min="8966" max="8966" width="16.140625" style="1" customWidth="1"/>
    <col min="8967" max="8967" width="17.140625" style="1" customWidth="1"/>
    <col min="8968" max="8968" width="1.7109375" style="1" customWidth="1"/>
    <col min="8969" max="8969" width="11.5703125" style="1" customWidth="1"/>
    <col min="8970" max="8970" width="4" style="1" customWidth="1"/>
    <col min="8971" max="8971" width="17.140625" style="1" customWidth="1"/>
    <col min="8972" max="8973" width="17.28515625" style="1" customWidth="1"/>
    <col min="8974" max="8974" width="9.140625" style="1"/>
    <col min="8975" max="8975" width="10.5703125" style="1" bestFit="1" customWidth="1"/>
    <col min="8976" max="9216" width="9.140625" style="1"/>
    <col min="9217" max="9217" width="47.140625" style="1" customWidth="1"/>
    <col min="9218" max="9218" width="1" style="1" customWidth="1"/>
    <col min="9219" max="9219" width="3.28515625" style="1" customWidth="1"/>
    <col min="9220" max="9220" width="0.140625" style="1" customWidth="1"/>
    <col min="9221" max="9221" width="1" style="1" customWidth="1"/>
    <col min="9222" max="9222" width="16.140625" style="1" customWidth="1"/>
    <col min="9223" max="9223" width="17.140625" style="1" customWidth="1"/>
    <col min="9224" max="9224" width="1.7109375" style="1" customWidth="1"/>
    <col min="9225" max="9225" width="11.5703125" style="1" customWidth="1"/>
    <col min="9226" max="9226" width="4" style="1" customWidth="1"/>
    <col min="9227" max="9227" width="17.140625" style="1" customWidth="1"/>
    <col min="9228" max="9229" width="17.28515625" style="1" customWidth="1"/>
    <col min="9230" max="9230" width="9.140625" style="1"/>
    <col min="9231" max="9231" width="10.5703125" style="1" bestFit="1" customWidth="1"/>
    <col min="9232" max="9472" width="9.140625" style="1"/>
    <col min="9473" max="9473" width="47.140625" style="1" customWidth="1"/>
    <col min="9474" max="9474" width="1" style="1" customWidth="1"/>
    <col min="9475" max="9475" width="3.28515625" style="1" customWidth="1"/>
    <col min="9476" max="9476" width="0.140625" style="1" customWidth="1"/>
    <col min="9477" max="9477" width="1" style="1" customWidth="1"/>
    <col min="9478" max="9478" width="16.140625" style="1" customWidth="1"/>
    <col min="9479" max="9479" width="17.140625" style="1" customWidth="1"/>
    <col min="9480" max="9480" width="1.7109375" style="1" customWidth="1"/>
    <col min="9481" max="9481" width="11.5703125" style="1" customWidth="1"/>
    <col min="9482" max="9482" width="4" style="1" customWidth="1"/>
    <col min="9483" max="9483" width="17.140625" style="1" customWidth="1"/>
    <col min="9484" max="9485" width="17.28515625" style="1" customWidth="1"/>
    <col min="9486" max="9486" width="9.140625" style="1"/>
    <col min="9487" max="9487" width="10.5703125" style="1" bestFit="1" customWidth="1"/>
    <col min="9488" max="9728" width="9.140625" style="1"/>
    <col min="9729" max="9729" width="47.140625" style="1" customWidth="1"/>
    <col min="9730" max="9730" width="1" style="1" customWidth="1"/>
    <col min="9731" max="9731" width="3.28515625" style="1" customWidth="1"/>
    <col min="9732" max="9732" width="0.140625" style="1" customWidth="1"/>
    <col min="9733" max="9733" width="1" style="1" customWidth="1"/>
    <col min="9734" max="9734" width="16.140625" style="1" customWidth="1"/>
    <col min="9735" max="9735" width="17.140625" style="1" customWidth="1"/>
    <col min="9736" max="9736" width="1.7109375" style="1" customWidth="1"/>
    <col min="9737" max="9737" width="11.5703125" style="1" customWidth="1"/>
    <col min="9738" max="9738" width="4" style="1" customWidth="1"/>
    <col min="9739" max="9739" width="17.140625" style="1" customWidth="1"/>
    <col min="9740" max="9741" width="17.28515625" style="1" customWidth="1"/>
    <col min="9742" max="9742" width="9.140625" style="1"/>
    <col min="9743" max="9743" width="10.5703125" style="1" bestFit="1" customWidth="1"/>
    <col min="9744" max="9984" width="9.140625" style="1"/>
    <col min="9985" max="9985" width="47.140625" style="1" customWidth="1"/>
    <col min="9986" max="9986" width="1" style="1" customWidth="1"/>
    <col min="9987" max="9987" width="3.28515625" style="1" customWidth="1"/>
    <col min="9988" max="9988" width="0.140625" style="1" customWidth="1"/>
    <col min="9989" max="9989" width="1" style="1" customWidth="1"/>
    <col min="9990" max="9990" width="16.140625" style="1" customWidth="1"/>
    <col min="9991" max="9991" width="17.140625" style="1" customWidth="1"/>
    <col min="9992" max="9992" width="1.7109375" style="1" customWidth="1"/>
    <col min="9993" max="9993" width="11.5703125" style="1" customWidth="1"/>
    <col min="9994" max="9994" width="4" style="1" customWidth="1"/>
    <col min="9995" max="9995" width="17.140625" style="1" customWidth="1"/>
    <col min="9996" max="9997" width="17.28515625" style="1" customWidth="1"/>
    <col min="9998" max="9998" width="9.140625" style="1"/>
    <col min="9999" max="9999" width="10.5703125" style="1" bestFit="1" customWidth="1"/>
    <col min="10000" max="10240" width="9.140625" style="1"/>
    <col min="10241" max="10241" width="47.140625" style="1" customWidth="1"/>
    <col min="10242" max="10242" width="1" style="1" customWidth="1"/>
    <col min="10243" max="10243" width="3.28515625" style="1" customWidth="1"/>
    <col min="10244" max="10244" width="0.140625" style="1" customWidth="1"/>
    <col min="10245" max="10245" width="1" style="1" customWidth="1"/>
    <col min="10246" max="10246" width="16.140625" style="1" customWidth="1"/>
    <col min="10247" max="10247" width="17.140625" style="1" customWidth="1"/>
    <col min="10248" max="10248" width="1.7109375" style="1" customWidth="1"/>
    <col min="10249" max="10249" width="11.5703125" style="1" customWidth="1"/>
    <col min="10250" max="10250" width="4" style="1" customWidth="1"/>
    <col min="10251" max="10251" width="17.140625" style="1" customWidth="1"/>
    <col min="10252" max="10253" width="17.28515625" style="1" customWidth="1"/>
    <col min="10254" max="10254" width="9.140625" style="1"/>
    <col min="10255" max="10255" width="10.5703125" style="1" bestFit="1" customWidth="1"/>
    <col min="10256" max="10496" width="9.140625" style="1"/>
    <col min="10497" max="10497" width="47.140625" style="1" customWidth="1"/>
    <col min="10498" max="10498" width="1" style="1" customWidth="1"/>
    <col min="10499" max="10499" width="3.28515625" style="1" customWidth="1"/>
    <col min="10500" max="10500" width="0.140625" style="1" customWidth="1"/>
    <col min="10501" max="10501" width="1" style="1" customWidth="1"/>
    <col min="10502" max="10502" width="16.140625" style="1" customWidth="1"/>
    <col min="10503" max="10503" width="17.140625" style="1" customWidth="1"/>
    <col min="10504" max="10504" width="1.7109375" style="1" customWidth="1"/>
    <col min="10505" max="10505" width="11.5703125" style="1" customWidth="1"/>
    <col min="10506" max="10506" width="4" style="1" customWidth="1"/>
    <col min="10507" max="10507" width="17.140625" style="1" customWidth="1"/>
    <col min="10508" max="10509" width="17.28515625" style="1" customWidth="1"/>
    <col min="10510" max="10510" width="9.140625" style="1"/>
    <col min="10511" max="10511" width="10.5703125" style="1" bestFit="1" customWidth="1"/>
    <col min="10512" max="10752" width="9.140625" style="1"/>
    <col min="10753" max="10753" width="47.140625" style="1" customWidth="1"/>
    <col min="10754" max="10754" width="1" style="1" customWidth="1"/>
    <col min="10755" max="10755" width="3.28515625" style="1" customWidth="1"/>
    <col min="10756" max="10756" width="0.140625" style="1" customWidth="1"/>
    <col min="10757" max="10757" width="1" style="1" customWidth="1"/>
    <col min="10758" max="10758" width="16.140625" style="1" customWidth="1"/>
    <col min="10759" max="10759" width="17.140625" style="1" customWidth="1"/>
    <col min="10760" max="10760" width="1.7109375" style="1" customWidth="1"/>
    <col min="10761" max="10761" width="11.5703125" style="1" customWidth="1"/>
    <col min="10762" max="10762" width="4" style="1" customWidth="1"/>
    <col min="10763" max="10763" width="17.140625" style="1" customWidth="1"/>
    <col min="10764" max="10765" width="17.28515625" style="1" customWidth="1"/>
    <col min="10766" max="10766" width="9.140625" style="1"/>
    <col min="10767" max="10767" width="10.5703125" style="1" bestFit="1" customWidth="1"/>
    <col min="10768" max="11008" width="9.140625" style="1"/>
    <col min="11009" max="11009" width="47.140625" style="1" customWidth="1"/>
    <col min="11010" max="11010" width="1" style="1" customWidth="1"/>
    <col min="11011" max="11011" width="3.28515625" style="1" customWidth="1"/>
    <col min="11012" max="11012" width="0.140625" style="1" customWidth="1"/>
    <col min="11013" max="11013" width="1" style="1" customWidth="1"/>
    <col min="11014" max="11014" width="16.140625" style="1" customWidth="1"/>
    <col min="11015" max="11015" width="17.140625" style="1" customWidth="1"/>
    <col min="11016" max="11016" width="1.7109375" style="1" customWidth="1"/>
    <col min="11017" max="11017" width="11.5703125" style="1" customWidth="1"/>
    <col min="11018" max="11018" width="4" style="1" customWidth="1"/>
    <col min="11019" max="11019" width="17.140625" style="1" customWidth="1"/>
    <col min="11020" max="11021" width="17.28515625" style="1" customWidth="1"/>
    <col min="11022" max="11022" width="9.140625" style="1"/>
    <col min="11023" max="11023" width="10.5703125" style="1" bestFit="1" customWidth="1"/>
    <col min="11024" max="11264" width="9.140625" style="1"/>
    <col min="11265" max="11265" width="47.140625" style="1" customWidth="1"/>
    <col min="11266" max="11266" width="1" style="1" customWidth="1"/>
    <col min="11267" max="11267" width="3.28515625" style="1" customWidth="1"/>
    <col min="11268" max="11268" width="0.140625" style="1" customWidth="1"/>
    <col min="11269" max="11269" width="1" style="1" customWidth="1"/>
    <col min="11270" max="11270" width="16.140625" style="1" customWidth="1"/>
    <col min="11271" max="11271" width="17.140625" style="1" customWidth="1"/>
    <col min="11272" max="11272" width="1.7109375" style="1" customWidth="1"/>
    <col min="11273" max="11273" width="11.5703125" style="1" customWidth="1"/>
    <col min="11274" max="11274" width="4" style="1" customWidth="1"/>
    <col min="11275" max="11275" width="17.140625" style="1" customWidth="1"/>
    <col min="11276" max="11277" width="17.28515625" style="1" customWidth="1"/>
    <col min="11278" max="11278" width="9.140625" style="1"/>
    <col min="11279" max="11279" width="10.5703125" style="1" bestFit="1" customWidth="1"/>
    <col min="11280" max="11520" width="9.140625" style="1"/>
    <col min="11521" max="11521" width="47.140625" style="1" customWidth="1"/>
    <col min="11522" max="11522" width="1" style="1" customWidth="1"/>
    <col min="11523" max="11523" width="3.28515625" style="1" customWidth="1"/>
    <col min="11524" max="11524" width="0.140625" style="1" customWidth="1"/>
    <col min="11525" max="11525" width="1" style="1" customWidth="1"/>
    <col min="11526" max="11526" width="16.140625" style="1" customWidth="1"/>
    <col min="11527" max="11527" width="17.140625" style="1" customWidth="1"/>
    <col min="11528" max="11528" width="1.7109375" style="1" customWidth="1"/>
    <col min="11529" max="11529" width="11.5703125" style="1" customWidth="1"/>
    <col min="11530" max="11530" width="4" style="1" customWidth="1"/>
    <col min="11531" max="11531" width="17.140625" style="1" customWidth="1"/>
    <col min="11532" max="11533" width="17.28515625" style="1" customWidth="1"/>
    <col min="11534" max="11534" width="9.140625" style="1"/>
    <col min="11535" max="11535" width="10.5703125" style="1" bestFit="1" customWidth="1"/>
    <col min="11536" max="11776" width="9.140625" style="1"/>
    <col min="11777" max="11777" width="47.140625" style="1" customWidth="1"/>
    <col min="11778" max="11778" width="1" style="1" customWidth="1"/>
    <col min="11779" max="11779" width="3.28515625" style="1" customWidth="1"/>
    <col min="11780" max="11780" width="0.140625" style="1" customWidth="1"/>
    <col min="11781" max="11781" width="1" style="1" customWidth="1"/>
    <col min="11782" max="11782" width="16.140625" style="1" customWidth="1"/>
    <col min="11783" max="11783" width="17.140625" style="1" customWidth="1"/>
    <col min="11784" max="11784" width="1.7109375" style="1" customWidth="1"/>
    <col min="11785" max="11785" width="11.5703125" style="1" customWidth="1"/>
    <col min="11786" max="11786" width="4" style="1" customWidth="1"/>
    <col min="11787" max="11787" width="17.140625" style="1" customWidth="1"/>
    <col min="11788" max="11789" width="17.28515625" style="1" customWidth="1"/>
    <col min="11790" max="11790" width="9.140625" style="1"/>
    <col min="11791" max="11791" width="10.5703125" style="1" bestFit="1" customWidth="1"/>
    <col min="11792" max="12032" width="9.140625" style="1"/>
    <col min="12033" max="12033" width="47.140625" style="1" customWidth="1"/>
    <col min="12034" max="12034" width="1" style="1" customWidth="1"/>
    <col min="12035" max="12035" width="3.28515625" style="1" customWidth="1"/>
    <col min="12036" max="12036" width="0.140625" style="1" customWidth="1"/>
    <col min="12037" max="12037" width="1" style="1" customWidth="1"/>
    <col min="12038" max="12038" width="16.140625" style="1" customWidth="1"/>
    <col min="12039" max="12039" width="17.140625" style="1" customWidth="1"/>
    <col min="12040" max="12040" width="1.7109375" style="1" customWidth="1"/>
    <col min="12041" max="12041" width="11.5703125" style="1" customWidth="1"/>
    <col min="12042" max="12042" width="4" style="1" customWidth="1"/>
    <col min="12043" max="12043" width="17.140625" style="1" customWidth="1"/>
    <col min="12044" max="12045" width="17.28515625" style="1" customWidth="1"/>
    <col min="12046" max="12046" width="9.140625" style="1"/>
    <col min="12047" max="12047" width="10.5703125" style="1" bestFit="1" customWidth="1"/>
    <col min="12048" max="12288" width="9.140625" style="1"/>
    <col min="12289" max="12289" width="47.140625" style="1" customWidth="1"/>
    <col min="12290" max="12290" width="1" style="1" customWidth="1"/>
    <col min="12291" max="12291" width="3.28515625" style="1" customWidth="1"/>
    <col min="12292" max="12292" width="0.140625" style="1" customWidth="1"/>
    <col min="12293" max="12293" width="1" style="1" customWidth="1"/>
    <col min="12294" max="12294" width="16.140625" style="1" customWidth="1"/>
    <col min="12295" max="12295" width="17.140625" style="1" customWidth="1"/>
    <col min="12296" max="12296" width="1.7109375" style="1" customWidth="1"/>
    <col min="12297" max="12297" width="11.5703125" style="1" customWidth="1"/>
    <col min="12298" max="12298" width="4" style="1" customWidth="1"/>
    <col min="12299" max="12299" width="17.140625" style="1" customWidth="1"/>
    <col min="12300" max="12301" width="17.28515625" style="1" customWidth="1"/>
    <col min="12302" max="12302" width="9.140625" style="1"/>
    <col min="12303" max="12303" width="10.5703125" style="1" bestFit="1" customWidth="1"/>
    <col min="12304" max="12544" width="9.140625" style="1"/>
    <col min="12545" max="12545" width="47.140625" style="1" customWidth="1"/>
    <col min="12546" max="12546" width="1" style="1" customWidth="1"/>
    <col min="12547" max="12547" width="3.28515625" style="1" customWidth="1"/>
    <col min="12548" max="12548" width="0.140625" style="1" customWidth="1"/>
    <col min="12549" max="12549" width="1" style="1" customWidth="1"/>
    <col min="12550" max="12550" width="16.140625" style="1" customWidth="1"/>
    <col min="12551" max="12551" width="17.140625" style="1" customWidth="1"/>
    <col min="12552" max="12552" width="1.7109375" style="1" customWidth="1"/>
    <col min="12553" max="12553" width="11.5703125" style="1" customWidth="1"/>
    <col min="12554" max="12554" width="4" style="1" customWidth="1"/>
    <col min="12555" max="12555" width="17.140625" style="1" customWidth="1"/>
    <col min="12556" max="12557" width="17.28515625" style="1" customWidth="1"/>
    <col min="12558" max="12558" width="9.140625" style="1"/>
    <col min="12559" max="12559" width="10.5703125" style="1" bestFit="1" customWidth="1"/>
    <col min="12560" max="12800" width="9.140625" style="1"/>
    <col min="12801" max="12801" width="47.140625" style="1" customWidth="1"/>
    <col min="12802" max="12802" width="1" style="1" customWidth="1"/>
    <col min="12803" max="12803" width="3.28515625" style="1" customWidth="1"/>
    <col min="12804" max="12804" width="0.140625" style="1" customWidth="1"/>
    <col min="12805" max="12805" width="1" style="1" customWidth="1"/>
    <col min="12806" max="12806" width="16.140625" style="1" customWidth="1"/>
    <col min="12807" max="12807" width="17.140625" style="1" customWidth="1"/>
    <col min="12808" max="12808" width="1.7109375" style="1" customWidth="1"/>
    <col min="12809" max="12809" width="11.5703125" style="1" customWidth="1"/>
    <col min="12810" max="12810" width="4" style="1" customWidth="1"/>
    <col min="12811" max="12811" width="17.140625" style="1" customWidth="1"/>
    <col min="12812" max="12813" width="17.28515625" style="1" customWidth="1"/>
    <col min="12814" max="12814" width="9.140625" style="1"/>
    <col min="12815" max="12815" width="10.5703125" style="1" bestFit="1" customWidth="1"/>
    <col min="12816" max="13056" width="9.140625" style="1"/>
    <col min="13057" max="13057" width="47.140625" style="1" customWidth="1"/>
    <col min="13058" max="13058" width="1" style="1" customWidth="1"/>
    <col min="13059" max="13059" width="3.28515625" style="1" customWidth="1"/>
    <col min="13060" max="13060" width="0.140625" style="1" customWidth="1"/>
    <col min="13061" max="13061" width="1" style="1" customWidth="1"/>
    <col min="13062" max="13062" width="16.140625" style="1" customWidth="1"/>
    <col min="13063" max="13063" width="17.140625" style="1" customWidth="1"/>
    <col min="13064" max="13064" width="1.7109375" style="1" customWidth="1"/>
    <col min="13065" max="13065" width="11.5703125" style="1" customWidth="1"/>
    <col min="13066" max="13066" width="4" style="1" customWidth="1"/>
    <col min="13067" max="13067" width="17.140625" style="1" customWidth="1"/>
    <col min="13068" max="13069" width="17.28515625" style="1" customWidth="1"/>
    <col min="13070" max="13070" width="9.140625" style="1"/>
    <col min="13071" max="13071" width="10.5703125" style="1" bestFit="1" customWidth="1"/>
    <col min="13072" max="13312" width="9.140625" style="1"/>
    <col min="13313" max="13313" width="47.140625" style="1" customWidth="1"/>
    <col min="13314" max="13314" width="1" style="1" customWidth="1"/>
    <col min="13315" max="13315" width="3.28515625" style="1" customWidth="1"/>
    <col min="13316" max="13316" width="0.140625" style="1" customWidth="1"/>
    <col min="13317" max="13317" width="1" style="1" customWidth="1"/>
    <col min="13318" max="13318" width="16.140625" style="1" customWidth="1"/>
    <col min="13319" max="13319" width="17.140625" style="1" customWidth="1"/>
    <col min="13320" max="13320" width="1.7109375" style="1" customWidth="1"/>
    <col min="13321" max="13321" width="11.5703125" style="1" customWidth="1"/>
    <col min="13322" max="13322" width="4" style="1" customWidth="1"/>
    <col min="13323" max="13323" width="17.140625" style="1" customWidth="1"/>
    <col min="13324" max="13325" width="17.28515625" style="1" customWidth="1"/>
    <col min="13326" max="13326" width="9.140625" style="1"/>
    <col min="13327" max="13327" width="10.5703125" style="1" bestFit="1" customWidth="1"/>
    <col min="13328" max="13568" width="9.140625" style="1"/>
    <col min="13569" max="13569" width="47.140625" style="1" customWidth="1"/>
    <col min="13570" max="13570" width="1" style="1" customWidth="1"/>
    <col min="13571" max="13571" width="3.28515625" style="1" customWidth="1"/>
    <col min="13572" max="13572" width="0.140625" style="1" customWidth="1"/>
    <col min="13573" max="13573" width="1" style="1" customWidth="1"/>
    <col min="13574" max="13574" width="16.140625" style="1" customWidth="1"/>
    <col min="13575" max="13575" width="17.140625" style="1" customWidth="1"/>
    <col min="13576" max="13576" width="1.7109375" style="1" customWidth="1"/>
    <col min="13577" max="13577" width="11.5703125" style="1" customWidth="1"/>
    <col min="13578" max="13578" width="4" style="1" customWidth="1"/>
    <col min="13579" max="13579" width="17.140625" style="1" customWidth="1"/>
    <col min="13580" max="13581" width="17.28515625" style="1" customWidth="1"/>
    <col min="13582" max="13582" width="9.140625" style="1"/>
    <col min="13583" max="13583" width="10.5703125" style="1" bestFit="1" customWidth="1"/>
    <col min="13584" max="13824" width="9.140625" style="1"/>
    <col min="13825" max="13825" width="47.140625" style="1" customWidth="1"/>
    <col min="13826" max="13826" width="1" style="1" customWidth="1"/>
    <col min="13827" max="13827" width="3.28515625" style="1" customWidth="1"/>
    <col min="13828" max="13828" width="0.140625" style="1" customWidth="1"/>
    <col min="13829" max="13829" width="1" style="1" customWidth="1"/>
    <col min="13830" max="13830" width="16.140625" style="1" customWidth="1"/>
    <col min="13831" max="13831" width="17.140625" style="1" customWidth="1"/>
    <col min="13832" max="13832" width="1.7109375" style="1" customWidth="1"/>
    <col min="13833" max="13833" width="11.5703125" style="1" customWidth="1"/>
    <col min="13834" max="13834" width="4" style="1" customWidth="1"/>
    <col min="13835" max="13835" width="17.140625" style="1" customWidth="1"/>
    <col min="13836" max="13837" width="17.28515625" style="1" customWidth="1"/>
    <col min="13838" max="13838" width="9.140625" style="1"/>
    <col min="13839" max="13839" width="10.5703125" style="1" bestFit="1" customWidth="1"/>
    <col min="13840" max="14080" width="9.140625" style="1"/>
    <col min="14081" max="14081" width="47.140625" style="1" customWidth="1"/>
    <col min="14082" max="14082" width="1" style="1" customWidth="1"/>
    <col min="14083" max="14083" width="3.28515625" style="1" customWidth="1"/>
    <col min="14084" max="14084" width="0.140625" style="1" customWidth="1"/>
    <col min="14085" max="14085" width="1" style="1" customWidth="1"/>
    <col min="14086" max="14086" width="16.140625" style="1" customWidth="1"/>
    <col min="14087" max="14087" width="17.140625" style="1" customWidth="1"/>
    <col min="14088" max="14088" width="1.7109375" style="1" customWidth="1"/>
    <col min="14089" max="14089" width="11.5703125" style="1" customWidth="1"/>
    <col min="14090" max="14090" width="4" style="1" customWidth="1"/>
    <col min="14091" max="14091" width="17.140625" style="1" customWidth="1"/>
    <col min="14092" max="14093" width="17.28515625" style="1" customWidth="1"/>
    <col min="14094" max="14094" width="9.140625" style="1"/>
    <col min="14095" max="14095" width="10.5703125" style="1" bestFit="1" customWidth="1"/>
    <col min="14096" max="14336" width="9.140625" style="1"/>
    <col min="14337" max="14337" width="47.140625" style="1" customWidth="1"/>
    <col min="14338" max="14338" width="1" style="1" customWidth="1"/>
    <col min="14339" max="14339" width="3.28515625" style="1" customWidth="1"/>
    <col min="14340" max="14340" width="0.140625" style="1" customWidth="1"/>
    <col min="14341" max="14341" width="1" style="1" customWidth="1"/>
    <col min="14342" max="14342" width="16.140625" style="1" customWidth="1"/>
    <col min="14343" max="14343" width="17.140625" style="1" customWidth="1"/>
    <col min="14344" max="14344" width="1.7109375" style="1" customWidth="1"/>
    <col min="14345" max="14345" width="11.5703125" style="1" customWidth="1"/>
    <col min="14346" max="14346" width="4" style="1" customWidth="1"/>
    <col min="14347" max="14347" width="17.140625" style="1" customWidth="1"/>
    <col min="14348" max="14349" width="17.28515625" style="1" customWidth="1"/>
    <col min="14350" max="14350" width="9.140625" style="1"/>
    <col min="14351" max="14351" width="10.5703125" style="1" bestFit="1" customWidth="1"/>
    <col min="14352" max="14592" width="9.140625" style="1"/>
    <col min="14593" max="14593" width="47.140625" style="1" customWidth="1"/>
    <col min="14594" max="14594" width="1" style="1" customWidth="1"/>
    <col min="14595" max="14595" width="3.28515625" style="1" customWidth="1"/>
    <col min="14596" max="14596" width="0.140625" style="1" customWidth="1"/>
    <col min="14597" max="14597" width="1" style="1" customWidth="1"/>
    <col min="14598" max="14598" width="16.140625" style="1" customWidth="1"/>
    <col min="14599" max="14599" width="17.140625" style="1" customWidth="1"/>
    <col min="14600" max="14600" width="1.7109375" style="1" customWidth="1"/>
    <col min="14601" max="14601" width="11.5703125" style="1" customWidth="1"/>
    <col min="14602" max="14602" width="4" style="1" customWidth="1"/>
    <col min="14603" max="14603" width="17.140625" style="1" customWidth="1"/>
    <col min="14604" max="14605" width="17.28515625" style="1" customWidth="1"/>
    <col min="14606" max="14606" width="9.140625" style="1"/>
    <col min="14607" max="14607" width="10.5703125" style="1" bestFit="1" customWidth="1"/>
    <col min="14608" max="14848" width="9.140625" style="1"/>
    <col min="14849" max="14849" width="47.140625" style="1" customWidth="1"/>
    <col min="14850" max="14850" width="1" style="1" customWidth="1"/>
    <col min="14851" max="14851" width="3.28515625" style="1" customWidth="1"/>
    <col min="14852" max="14852" width="0.140625" style="1" customWidth="1"/>
    <col min="14853" max="14853" width="1" style="1" customWidth="1"/>
    <col min="14854" max="14854" width="16.140625" style="1" customWidth="1"/>
    <col min="14855" max="14855" width="17.140625" style="1" customWidth="1"/>
    <col min="14856" max="14856" width="1.7109375" style="1" customWidth="1"/>
    <col min="14857" max="14857" width="11.5703125" style="1" customWidth="1"/>
    <col min="14858" max="14858" width="4" style="1" customWidth="1"/>
    <col min="14859" max="14859" width="17.140625" style="1" customWidth="1"/>
    <col min="14860" max="14861" width="17.28515625" style="1" customWidth="1"/>
    <col min="14862" max="14862" width="9.140625" style="1"/>
    <col min="14863" max="14863" width="10.5703125" style="1" bestFit="1" customWidth="1"/>
    <col min="14864" max="15104" width="9.140625" style="1"/>
    <col min="15105" max="15105" width="47.140625" style="1" customWidth="1"/>
    <col min="15106" max="15106" width="1" style="1" customWidth="1"/>
    <col min="15107" max="15107" width="3.28515625" style="1" customWidth="1"/>
    <col min="15108" max="15108" width="0.140625" style="1" customWidth="1"/>
    <col min="15109" max="15109" width="1" style="1" customWidth="1"/>
    <col min="15110" max="15110" width="16.140625" style="1" customWidth="1"/>
    <col min="15111" max="15111" width="17.140625" style="1" customWidth="1"/>
    <col min="15112" max="15112" width="1.7109375" style="1" customWidth="1"/>
    <col min="15113" max="15113" width="11.5703125" style="1" customWidth="1"/>
    <col min="15114" max="15114" width="4" style="1" customWidth="1"/>
    <col min="15115" max="15115" width="17.140625" style="1" customWidth="1"/>
    <col min="15116" max="15117" width="17.28515625" style="1" customWidth="1"/>
    <col min="15118" max="15118" width="9.140625" style="1"/>
    <col min="15119" max="15119" width="10.5703125" style="1" bestFit="1" customWidth="1"/>
    <col min="15120" max="15360" width="9.140625" style="1"/>
    <col min="15361" max="15361" width="47.140625" style="1" customWidth="1"/>
    <col min="15362" max="15362" width="1" style="1" customWidth="1"/>
    <col min="15363" max="15363" width="3.28515625" style="1" customWidth="1"/>
    <col min="15364" max="15364" width="0.140625" style="1" customWidth="1"/>
    <col min="15365" max="15365" width="1" style="1" customWidth="1"/>
    <col min="15366" max="15366" width="16.140625" style="1" customWidth="1"/>
    <col min="15367" max="15367" width="17.140625" style="1" customWidth="1"/>
    <col min="15368" max="15368" width="1.7109375" style="1" customWidth="1"/>
    <col min="15369" max="15369" width="11.5703125" style="1" customWidth="1"/>
    <col min="15370" max="15370" width="4" style="1" customWidth="1"/>
    <col min="15371" max="15371" width="17.140625" style="1" customWidth="1"/>
    <col min="15372" max="15373" width="17.28515625" style="1" customWidth="1"/>
    <col min="15374" max="15374" width="9.140625" style="1"/>
    <col min="15375" max="15375" width="10.5703125" style="1" bestFit="1" customWidth="1"/>
    <col min="15376" max="15616" width="9.140625" style="1"/>
    <col min="15617" max="15617" width="47.140625" style="1" customWidth="1"/>
    <col min="15618" max="15618" width="1" style="1" customWidth="1"/>
    <col min="15619" max="15619" width="3.28515625" style="1" customWidth="1"/>
    <col min="15620" max="15620" width="0.140625" style="1" customWidth="1"/>
    <col min="15621" max="15621" width="1" style="1" customWidth="1"/>
    <col min="15622" max="15622" width="16.140625" style="1" customWidth="1"/>
    <col min="15623" max="15623" width="17.140625" style="1" customWidth="1"/>
    <col min="15624" max="15624" width="1.7109375" style="1" customWidth="1"/>
    <col min="15625" max="15625" width="11.5703125" style="1" customWidth="1"/>
    <col min="15626" max="15626" width="4" style="1" customWidth="1"/>
    <col min="15627" max="15627" width="17.140625" style="1" customWidth="1"/>
    <col min="15628" max="15629" width="17.28515625" style="1" customWidth="1"/>
    <col min="15630" max="15630" width="9.140625" style="1"/>
    <col min="15631" max="15631" width="10.5703125" style="1" bestFit="1" customWidth="1"/>
    <col min="15632" max="15872" width="9.140625" style="1"/>
    <col min="15873" max="15873" width="47.140625" style="1" customWidth="1"/>
    <col min="15874" max="15874" width="1" style="1" customWidth="1"/>
    <col min="15875" max="15875" width="3.28515625" style="1" customWidth="1"/>
    <col min="15876" max="15876" width="0.140625" style="1" customWidth="1"/>
    <col min="15877" max="15877" width="1" style="1" customWidth="1"/>
    <col min="15878" max="15878" width="16.140625" style="1" customWidth="1"/>
    <col min="15879" max="15879" width="17.140625" style="1" customWidth="1"/>
    <col min="15880" max="15880" width="1.7109375" style="1" customWidth="1"/>
    <col min="15881" max="15881" width="11.5703125" style="1" customWidth="1"/>
    <col min="15882" max="15882" width="4" style="1" customWidth="1"/>
    <col min="15883" max="15883" width="17.140625" style="1" customWidth="1"/>
    <col min="15884" max="15885" width="17.28515625" style="1" customWidth="1"/>
    <col min="15886" max="15886" width="9.140625" style="1"/>
    <col min="15887" max="15887" width="10.5703125" style="1" bestFit="1" customWidth="1"/>
    <col min="15888" max="16128" width="9.140625" style="1"/>
    <col min="16129" max="16129" width="47.140625" style="1" customWidth="1"/>
    <col min="16130" max="16130" width="1" style="1" customWidth="1"/>
    <col min="16131" max="16131" width="3.28515625" style="1" customWidth="1"/>
    <col min="16132" max="16132" width="0.140625" style="1" customWidth="1"/>
    <col min="16133" max="16133" width="1" style="1" customWidth="1"/>
    <col min="16134" max="16134" width="16.140625" style="1" customWidth="1"/>
    <col min="16135" max="16135" width="17.140625" style="1" customWidth="1"/>
    <col min="16136" max="16136" width="1.7109375" style="1" customWidth="1"/>
    <col min="16137" max="16137" width="11.5703125" style="1" customWidth="1"/>
    <col min="16138" max="16138" width="4" style="1" customWidth="1"/>
    <col min="16139" max="16139" width="17.140625" style="1" customWidth="1"/>
    <col min="16140" max="16141" width="17.28515625" style="1" customWidth="1"/>
    <col min="16142" max="16142" width="9.140625" style="1"/>
    <col min="16143" max="16143" width="10.5703125" style="1" bestFit="1" customWidth="1"/>
    <col min="16144" max="16384" width="9.140625" style="1"/>
  </cols>
  <sheetData>
    <row r="1" spans="1:13" ht="34.5" customHeight="1"/>
    <row r="2" spans="1:13" ht="23.25" customHeight="1">
      <c r="A2" s="433" t="s">
        <v>585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3" ht="15.75" customHeight="1">
      <c r="A3" s="434" t="s">
        <v>586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</row>
    <row r="4" spans="1:13" ht="0.75" customHeight="1"/>
    <row r="5" spans="1:13" ht="9.75" customHeight="1">
      <c r="A5" s="434" t="s">
        <v>587</v>
      </c>
      <c r="B5" s="434"/>
      <c r="C5" s="434"/>
    </row>
    <row r="6" spans="1:13" ht="6.75" customHeight="1">
      <c r="A6" s="434"/>
      <c r="B6" s="434"/>
      <c r="C6" s="434"/>
    </row>
    <row r="7" spans="1:13" ht="0.75" customHeight="1"/>
    <row r="8" spans="1:13" ht="6" customHeight="1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</row>
    <row r="9" spans="1:13" ht="14.25" customHeight="1">
      <c r="L9" s="436" t="s">
        <v>588</v>
      </c>
      <c r="M9" s="436"/>
    </row>
    <row r="10" spans="1:13" ht="19.5" customHeight="1">
      <c r="A10" s="437" t="s">
        <v>605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</row>
    <row r="11" spans="1:13" ht="12.75" customHeight="1">
      <c r="A11" s="442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</row>
    <row r="12" spans="1:13" ht="1.5" customHeight="1"/>
    <row r="13" spans="1:13" ht="1.5" customHeight="1">
      <c r="A13" s="584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</row>
    <row r="14" spans="1:13" ht="25.5" customHeight="1">
      <c r="A14" s="585" t="s">
        <v>577</v>
      </c>
      <c r="B14" s="585"/>
      <c r="C14" s="585"/>
      <c r="D14" s="586" t="s">
        <v>606</v>
      </c>
      <c r="E14" s="586"/>
      <c r="F14" s="586"/>
      <c r="G14" s="259" t="s">
        <v>606</v>
      </c>
      <c r="H14" s="586" t="s">
        <v>576</v>
      </c>
      <c r="I14" s="586"/>
      <c r="J14" s="586"/>
      <c r="K14" s="259" t="s">
        <v>575</v>
      </c>
      <c r="L14" s="260" t="s">
        <v>574</v>
      </c>
      <c r="M14" s="259" t="s">
        <v>573</v>
      </c>
    </row>
    <row r="15" spans="1:13" ht="18" customHeight="1">
      <c r="A15" s="440" t="s">
        <v>572</v>
      </c>
      <c r="B15" s="440"/>
      <c r="C15" s="440"/>
      <c r="D15" s="582"/>
      <c r="E15" s="582"/>
      <c r="F15" s="582"/>
      <c r="G15" s="261"/>
      <c r="H15" s="583">
        <v>3400176.26</v>
      </c>
      <c r="I15" s="583"/>
      <c r="J15" s="583"/>
      <c r="K15" s="262">
        <v>3611383.92</v>
      </c>
      <c r="L15" s="263">
        <v>3907928.82</v>
      </c>
      <c r="M15" s="261">
        <v>296544.90000000002</v>
      </c>
    </row>
    <row r="16" spans="1:13" ht="18" customHeight="1">
      <c r="A16" s="447" t="s">
        <v>571</v>
      </c>
      <c r="B16" s="447"/>
      <c r="C16" s="447"/>
      <c r="D16" s="580"/>
      <c r="E16" s="580"/>
      <c r="F16" s="580"/>
      <c r="G16" s="264"/>
      <c r="H16" s="581">
        <v>1858725.99</v>
      </c>
      <c r="I16" s="581"/>
      <c r="J16" s="581"/>
      <c r="K16" s="265">
        <v>1985008.36</v>
      </c>
      <c r="L16" s="265">
        <v>2052931.33</v>
      </c>
      <c r="M16" s="264">
        <v>67922.97</v>
      </c>
    </row>
    <row r="17" spans="1:15" ht="18" customHeight="1">
      <c r="A17" s="440" t="s">
        <v>570</v>
      </c>
      <c r="B17" s="440"/>
      <c r="C17" s="440"/>
      <c r="D17" s="582"/>
      <c r="E17" s="582"/>
      <c r="F17" s="582"/>
      <c r="G17" s="261"/>
      <c r="H17" s="583">
        <v>1858725.99</v>
      </c>
      <c r="I17" s="583"/>
      <c r="J17" s="583"/>
      <c r="K17" s="262">
        <v>1985008.36</v>
      </c>
      <c r="L17" s="262">
        <v>2052931.33</v>
      </c>
      <c r="M17" s="261">
        <v>67922.97</v>
      </c>
    </row>
    <row r="18" spans="1:15" ht="18" customHeight="1">
      <c r="A18" s="447" t="s">
        <v>569</v>
      </c>
      <c r="B18" s="447"/>
      <c r="C18" s="447"/>
      <c r="D18" s="580"/>
      <c r="E18" s="580"/>
      <c r="F18" s="580"/>
      <c r="G18" s="264"/>
      <c r="H18" s="581">
        <v>1858725.99</v>
      </c>
      <c r="I18" s="581"/>
      <c r="J18" s="581"/>
      <c r="K18" s="265">
        <v>1985008.36</v>
      </c>
      <c r="L18" s="263">
        <v>2052931.33</v>
      </c>
      <c r="M18" s="264">
        <v>67922.97</v>
      </c>
    </row>
    <row r="19" spans="1:15" ht="18" customHeight="1">
      <c r="A19" s="440" t="s">
        <v>562</v>
      </c>
      <c r="B19" s="440"/>
      <c r="C19" s="440"/>
      <c r="D19" s="582"/>
      <c r="E19" s="582"/>
      <c r="F19" s="582"/>
      <c r="G19" s="261"/>
      <c r="H19" s="583">
        <v>1355290.03</v>
      </c>
      <c r="I19" s="583"/>
      <c r="J19" s="583"/>
      <c r="K19" s="262">
        <v>1399463.11</v>
      </c>
      <c r="L19" s="263">
        <v>1534303.76</v>
      </c>
      <c r="M19" s="261">
        <v>134840.65</v>
      </c>
    </row>
    <row r="20" spans="1:15" ht="18" customHeight="1">
      <c r="A20" s="447" t="s">
        <v>561</v>
      </c>
      <c r="B20" s="447"/>
      <c r="C20" s="447"/>
      <c r="D20" s="580"/>
      <c r="E20" s="580"/>
      <c r="F20" s="580"/>
      <c r="G20" s="264"/>
      <c r="H20" s="581">
        <v>0</v>
      </c>
      <c r="I20" s="581"/>
      <c r="J20" s="581"/>
      <c r="K20" s="265">
        <v>0</v>
      </c>
      <c r="L20" s="265">
        <v>626.88</v>
      </c>
      <c r="M20" s="264">
        <v>626.88</v>
      </c>
    </row>
    <row r="21" spans="1:15" ht="18" customHeight="1">
      <c r="A21" s="440" t="s">
        <v>560</v>
      </c>
      <c r="B21" s="440"/>
      <c r="C21" s="440"/>
      <c r="D21" s="582"/>
      <c r="E21" s="582"/>
      <c r="F21" s="582"/>
      <c r="G21" s="261"/>
      <c r="H21" s="583">
        <v>10000</v>
      </c>
      <c r="I21" s="583"/>
      <c r="J21" s="583"/>
      <c r="K21" s="262">
        <v>10000</v>
      </c>
      <c r="L21" s="262">
        <v>27441.14</v>
      </c>
      <c r="M21" s="261">
        <v>17441.14</v>
      </c>
    </row>
    <row r="22" spans="1:15" ht="21" customHeight="1">
      <c r="A22" s="447" t="s">
        <v>558</v>
      </c>
      <c r="B22" s="447"/>
      <c r="C22" s="447"/>
      <c r="D22" s="580"/>
      <c r="E22" s="580"/>
      <c r="F22" s="580"/>
      <c r="G22" s="264"/>
      <c r="H22" s="581">
        <v>1327280</v>
      </c>
      <c r="I22" s="581"/>
      <c r="J22" s="581"/>
      <c r="K22" s="265">
        <v>1375453.08</v>
      </c>
      <c r="L22" s="265">
        <v>1505452.14</v>
      </c>
      <c r="M22" s="264">
        <v>129999.06</v>
      </c>
    </row>
    <row r="23" spans="1:15" ht="18" customHeight="1">
      <c r="A23" s="440" t="s">
        <v>556</v>
      </c>
      <c r="B23" s="440"/>
      <c r="C23" s="440"/>
      <c r="D23" s="582"/>
      <c r="E23" s="582"/>
      <c r="F23" s="582"/>
      <c r="G23" s="261"/>
      <c r="H23" s="583">
        <v>3000</v>
      </c>
      <c r="I23" s="583"/>
      <c r="J23" s="583"/>
      <c r="K23" s="262">
        <v>3000</v>
      </c>
      <c r="L23" s="262">
        <v>783.6</v>
      </c>
      <c r="M23" s="261">
        <v>-2216.4</v>
      </c>
    </row>
    <row r="24" spans="1:15" ht="18" customHeight="1">
      <c r="A24" s="447" t="s">
        <v>547</v>
      </c>
      <c r="B24" s="447"/>
      <c r="C24" s="447"/>
      <c r="D24" s="580"/>
      <c r="E24" s="580"/>
      <c r="F24" s="580"/>
      <c r="G24" s="264"/>
      <c r="H24" s="581">
        <v>15010.03</v>
      </c>
      <c r="I24" s="581"/>
      <c r="J24" s="581"/>
      <c r="K24" s="265">
        <v>11010.03</v>
      </c>
      <c r="L24" s="263">
        <v>0</v>
      </c>
      <c r="M24" s="264">
        <v>-11010.03</v>
      </c>
    </row>
    <row r="25" spans="1:15" ht="18" customHeight="1">
      <c r="A25" s="440" t="s">
        <v>553</v>
      </c>
      <c r="B25" s="440"/>
      <c r="C25" s="440"/>
      <c r="D25" s="582"/>
      <c r="E25" s="582"/>
      <c r="F25" s="582"/>
      <c r="G25" s="261"/>
      <c r="H25" s="583">
        <v>168800</v>
      </c>
      <c r="I25" s="583"/>
      <c r="J25" s="583"/>
      <c r="K25" s="262">
        <v>209552.21</v>
      </c>
      <c r="L25" s="262">
        <v>274582.28999999998</v>
      </c>
      <c r="M25" s="261">
        <v>65030.080000000002</v>
      </c>
      <c r="N25" s="1" t="s">
        <v>607</v>
      </c>
      <c r="O25" s="266">
        <f>L15-L18-L19-L24-L28</f>
        <v>229841.28999999975</v>
      </c>
    </row>
    <row r="26" spans="1:15" ht="18" customHeight="1">
      <c r="A26" s="447" t="s">
        <v>552</v>
      </c>
      <c r="B26" s="447"/>
      <c r="C26" s="447"/>
      <c r="D26" s="580"/>
      <c r="E26" s="580"/>
      <c r="F26" s="580"/>
      <c r="G26" s="264"/>
      <c r="H26" s="581">
        <v>140000</v>
      </c>
      <c r="I26" s="581"/>
      <c r="J26" s="581"/>
      <c r="K26" s="265">
        <v>161552.21</v>
      </c>
      <c r="L26" s="265">
        <v>183729.85</v>
      </c>
      <c r="M26" s="264">
        <v>22177.64</v>
      </c>
    </row>
    <row r="27" spans="1:15" ht="18" customHeight="1">
      <c r="A27" s="440" t="s">
        <v>550</v>
      </c>
      <c r="B27" s="440"/>
      <c r="C27" s="440"/>
      <c r="D27" s="582"/>
      <c r="E27" s="582"/>
      <c r="F27" s="582"/>
      <c r="G27" s="261"/>
      <c r="H27" s="583">
        <v>28800</v>
      </c>
      <c r="I27" s="583"/>
      <c r="J27" s="583"/>
      <c r="K27" s="262">
        <v>48000</v>
      </c>
      <c r="L27" s="262">
        <v>90852.44</v>
      </c>
      <c r="M27" s="261">
        <v>42852.44</v>
      </c>
    </row>
    <row r="28" spans="1:15" ht="18" customHeight="1">
      <c r="A28" s="447" t="s">
        <v>549</v>
      </c>
      <c r="B28" s="447"/>
      <c r="C28" s="447"/>
      <c r="D28" s="580"/>
      <c r="E28" s="580"/>
      <c r="F28" s="580"/>
      <c r="G28" s="264"/>
      <c r="H28" s="581">
        <v>28800</v>
      </c>
      <c r="I28" s="581"/>
      <c r="J28" s="581"/>
      <c r="K28" s="265">
        <v>48000</v>
      </c>
      <c r="L28" s="263">
        <v>90852.44</v>
      </c>
      <c r="M28" s="264">
        <v>42852.44</v>
      </c>
    </row>
    <row r="29" spans="1:15" ht="18" customHeight="1">
      <c r="A29" s="440" t="s">
        <v>547</v>
      </c>
      <c r="B29" s="440"/>
      <c r="C29" s="440"/>
      <c r="D29" s="582"/>
      <c r="E29" s="582"/>
      <c r="F29" s="582"/>
      <c r="G29" s="261"/>
      <c r="H29" s="583">
        <v>17360.240000000002</v>
      </c>
      <c r="I29" s="583"/>
      <c r="J29" s="583"/>
      <c r="K29" s="262">
        <v>17360.240000000002</v>
      </c>
      <c r="L29" s="262">
        <v>46111.44</v>
      </c>
      <c r="M29" s="261">
        <v>28751.200000000001</v>
      </c>
    </row>
    <row r="30" spans="1:15" ht="18" customHeight="1">
      <c r="A30" s="447" t="s">
        <v>546</v>
      </c>
      <c r="B30" s="447"/>
      <c r="C30" s="447"/>
      <c r="D30" s="580"/>
      <c r="E30" s="580"/>
      <c r="F30" s="580"/>
      <c r="G30" s="264"/>
      <c r="H30" s="581">
        <v>0</v>
      </c>
      <c r="I30" s="581"/>
      <c r="J30" s="581"/>
      <c r="K30" s="265">
        <v>0</v>
      </c>
      <c r="L30" s="265">
        <v>940.32</v>
      </c>
      <c r="M30" s="264">
        <v>940.32</v>
      </c>
    </row>
    <row r="31" spans="1:15" ht="18" customHeight="1">
      <c r="A31" s="440" t="s">
        <v>544</v>
      </c>
      <c r="B31" s="440"/>
      <c r="C31" s="440"/>
      <c r="D31" s="582"/>
      <c r="E31" s="582"/>
      <c r="F31" s="582"/>
      <c r="G31" s="261"/>
      <c r="H31" s="583">
        <v>3370.27</v>
      </c>
      <c r="I31" s="583"/>
      <c r="J31" s="583"/>
      <c r="K31" s="262">
        <v>3370.27</v>
      </c>
      <c r="L31" s="262">
        <v>0</v>
      </c>
      <c r="M31" s="261">
        <v>-3370.27</v>
      </c>
    </row>
    <row r="32" spans="1:15" ht="18" customHeight="1">
      <c r="A32" s="447" t="s">
        <v>542</v>
      </c>
      <c r="B32" s="447"/>
      <c r="C32" s="447"/>
      <c r="D32" s="580"/>
      <c r="E32" s="580"/>
      <c r="F32" s="580"/>
      <c r="G32" s="264"/>
      <c r="H32" s="581">
        <v>13989.97</v>
      </c>
      <c r="I32" s="581"/>
      <c r="J32" s="581"/>
      <c r="K32" s="265">
        <v>13989.97</v>
      </c>
      <c r="L32" s="265">
        <v>27826.73</v>
      </c>
      <c r="M32" s="264">
        <v>13836.76</v>
      </c>
    </row>
    <row r="33" spans="1:13" ht="18" customHeight="1">
      <c r="A33" s="440" t="s">
        <v>540</v>
      </c>
      <c r="B33" s="440"/>
      <c r="C33" s="440"/>
      <c r="D33" s="582"/>
      <c r="E33" s="582"/>
      <c r="F33" s="582"/>
      <c r="G33" s="261"/>
      <c r="H33" s="583">
        <v>0</v>
      </c>
      <c r="I33" s="583"/>
      <c r="J33" s="583"/>
      <c r="K33" s="262">
        <v>0</v>
      </c>
      <c r="L33" s="262">
        <v>17344.39</v>
      </c>
      <c r="M33" s="261">
        <v>17344.39</v>
      </c>
    </row>
    <row r="34" spans="1:13" ht="18" customHeight="1">
      <c r="A34" s="447" t="s">
        <v>538</v>
      </c>
      <c r="B34" s="447"/>
      <c r="C34" s="447"/>
      <c r="D34" s="580"/>
      <c r="E34" s="580"/>
      <c r="F34" s="580"/>
      <c r="G34" s="264"/>
      <c r="H34" s="581">
        <v>72000</v>
      </c>
      <c r="I34" s="581"/>
      <c r="J34" s="581"/>
      <c r="K34" s="265">
        <v>386000</v>
      </c>
      <c r="L34" s="265">
        <v>0</v>
      </c>
      <c r="M34" s="264">
        <v>-386000</v>
      </c>
    </row>
    <row r="35" spans="1:13" ht="18" customHeight="1">
      <c r="A35" s="440" t="s">
        <v>537</v>
      </c>
      <c r="B35" s="440"/>
      <c r="C35" s="440"/>
      <c r="D35" s="582"/>
      <c r="E35" s="582"/>
      <c r="F35" s="582"/>
      <c r="G35" s="261"/>
      <c r="H35" s="583">
        <v>72000</v>
      </c>
      <c r="I35" s="583"/>
      <c r="J35" s="583"/>
      <c r="K35" s="262">
        <v>386000</v>
      </c>
      <c r="L35" s="262">
        <v>0</v>
      </c>
      <c r="M35" s="261">
        <v>-386000</v>
      </c>
    </row>
    <row r="36" spans="1:13" ht="18" customHeight="1">
      <c r="A36" s="447" t="s">
        <v>536</v>
      </c>
      <c r="B36" s="447"/>
      <c r="C36" s="447"/>
      <c r="D36" s="580"/>
      <c r="E36" s="580"/>
      <c r="F36" s="580"/>
      <c r="G36" s="264"/>
      <c r="H36" s="581">
        <v>72000</v>
      </c>
      <c r="I36" s="581"/>
      <c r="J36" s="581"/>
      <c r="K36" s="265">
        <v>386000</v>
      </c>
      <c r="L36" s="265">
        <v>0</v>
      </c>
      <c r="M36" s="264">
        <v>-386000</v>
      </c>
    </row>
    <row r="37" spans="1:13" ht="18" customHeight="1">
      <c r="A37" s="440" t="s">
        <v>534</v>
      </c>
      <c r="B37" s="440"/>
      <c r="C37" s="440"/>
      <c r="D37" s="582"/>
      <c r="E37" s="582"/>
      <c r="F37" s="582"/>
      <c r="G37" s="261"/>
      <c r="H37" s="583">
        <v>0</v>
      </c>
      <c r="I37" s="583"/>
      <c r="J37" s="583"/>
      <c r="K37" s="262">
        <v>0</v>
      </c>
      <c r="L37" s="262">
        <v>0</v>
      </c>
      <c r="M37" s="261">
        <v>0</v>
      </c>
    </row>
    <row r="38" spans="1:13" ht="18" customHeight="1">
      <c r="A38" s="587" t="s">
        <v>533</v>
      </c>
      <c r="B38" s="587"/>
      <c r="C38" s="587"/>
      <c r="D38" s="588"/>
      <c r="E38" s="588"/>
      <c r="F38" s="588"/>
      <c r="G38" s="267"/>
      <c r="H38" s="589">
        <v>3472176.26</v>
      </c>
      <c r="I38" s="589"/>
      <c r="J38" s="589"/>
      <c r="K38" s="268">
        <v>3997383.92</v>
      </c>
      <c r="L38" s="268">
        <v>3907928.82</v>
      </c>
      <c r="M38" s="267">
        <v>-89455.1</v>
      </c>
    </row>
    <row r="39" spans="1:13" ht="18" customHeight="1">
      <c r="A39" s="591" t="s">
        <v>532</v>
      </c>
      <c r="B39" s="591"/>
      <c r="C39" s="591"/>
      <c r="D39" s="592"/>
      <c r="E39" s="592"/>
      <c r="F39" s="592"/>
      <c r="G39" s="269"/>
      <c r="H39" s="593">
        <v>0</v>
      </c>
      <c r="I39" s="593"/>
      <c r="J39" s="593"/>
      <c r="K39" s="270">
        <v>0</v>
      </c>
      <c r="L39" s="270">
        <v>0</v>
      </c>
      <c r="M39" s="269">
        <v>0</v>
      </c>
    </row>
    <row r="40" spans="1:13" ht="18" customHeight="1">
      <c r="A40" s="587" t="s">
        <v>3</v>
      </c>
      <c r="B40" s="587"/>
      <c r="C40" s="587"/>
      <c r="D40" s="588"/>
      <c r="E40" s="588"/>
      <c r="F40" s="588"/>
      <c r="G40" s="267"/>
      <c r="H40" s="589">
        <v>3472176.26</v>
      </c>
      <c r="I40" s="589"/>
      <c r="J40" s="589"/>
      <c r="K40" s="268">
        <v>3997383.92</v>
      </c>
      <c r="L40" s="268">
        <v>3907928.82</v>
      </c>
      <c r="M40" s="267">
        <v>-89455.1</v>
      </c>
    </row>
    <row r="41" spans="1:13" ht="25.5" customHeight="1">
      <c r="A41" s="585" t="s">
        <v>608</v>
      </c>
      <c r="B41" s="585"/>
      <c r="C41" s="585"/>
      <c r="D41" s="586" t="s">
        <v>609</v>
      </c>
      <c r="E41" s="586"/>
      <c r="F41" s="586"/>
      <c r="G41" s="259" t="s">
        <v>610</v>
      </c>
      <c r="H41" s="590" t="s">
        <v>611</v>
      </c>
      <c r="I41" s="590"/>
      <c r="J41" s="590"/>
      <c r="K41" s="259" t="s">
        <v>612</v>
      </c>
      <c r="L41" s="259" t="s">
        <v>613</v>
      </c>
      <c r="M41" s="259" t="s">
        <v>614</v>
      </c>
    </row>
    <row r="42" spans="1:13" ht="18" customHeight="1">
      <c r="A42" s="440" t="s">
        <v>524</v>
      </c>
      <c r="B42" s="440"/>
      <c r="C42" s="440"/>
      <c r="D42" s="582">
        <v>3363966.35</v>
      </c>
      <c r="E42" s="582"/>
      <c r="F42" s="582"/>
      <c r="G42" s="261">
        <v>3667145.36</v>
      </c>
      <c r="H42" s="583">
        <v>3529795.41</v>
      </c>
      <c r="I42" s="583"/>
      <c r="J42" s="583"/>
      <c r="K42" s="262">
        <v>3264013.88</v>
      </c>
      <c r="L42" s="262">
        <v>3263617.98</v>
      </c>
      <c r="M42" s="261">
        <v>137349.95000000001</v>
      </c>
    </row>
    <row r="43" spans="1:13" ht="18" customHeight="1">
      <c r="A43" s="447" t="s">
        <v>523</v>
      </c>
      <c r="B43" s="447"/>
      <c r="C43" s="447"/>
      <c r="D43" s="580">
        <v>2110611.7799999998</v>
      </c>
      <c r="E43" s="580"/>
      <c r="F43" s="580"/>
      <c r="G43" s="264">
        <v>2097401.77</v>
      </c>
      <c r="H43" s="581">
        <v>2089706.04</v>
      </c>
      <c r="I43" s="581"/>
      <c r="J43" s="581"/>
      <c r="K43" s="265">
        <v>2089706.04</v>
      </c>
      <c r="L43" s="265">
        <v>2089706.04</v>
      </c>
      <c r="M43" s="264">
        <v>7695.73</v>
      </c>
    </row>
    <row r="44" spans="1:13" ht="18" customHeight="1">
      <c r="A44" s="440" t="s">
        <v>522</v>
      </c>
      <c r="B44" s="440"/>
      <c r="C44" s="440"/>
      <c r="D44" s="582">
        <v>2110611.7799999998</v>
      </c>
      <c r="E44" s="582"/>
      <c r="F44" s="582"/>
      <c r="G44" s="261">
        <v>2097401.77</v>
      </c>
      <c r="H44" s="594">
        <v>2089706.04</v>
      </c>
      <c r="I44" s="594"/>
      <c r="J44" s="594"/>
      <c r="K44" s="262">
        <v>2089706.04</v>
      </c>
      <c r="L44" s="262">
        <v>2089706.04</v>
      </c>
      <c r="M44" s="261">
        <v>7695.73</v>
      </c>
    </row>
    <row r="45" spans="1:13" ht="18" customHeight="1">
      <c r="A45" s="447" t="s">
        <v>506</v>
      </c>
      <c r="B45" s="447"/>
      <c r="C45" s="447"/>
      <c r="D45" s="580">
        <v>71000</v>
      </c>
      <c r="E45" s="580"/>
      <c r="F45" s="580"/>
      <c r="G45" s="264">
        <v>55915.08</v>
      </c>
      <c r="H45" s="581">
        <v>31528.65</v>
      </c>
      <c r="I45" s="581"/>
      <c r="J45" s="581"/>
      <c r="K45" s="265">
        <v>31528.65</v>
      </c>
      <c r="L45" s="265">
        <v>31132.75</v>
      </c>
      <c r="M45" s="264">
        <v>24386.43</v>
      </c>
    </row>
    <row r="46" spans="1:13" ht="18" customHeight="1">
      <c r="A46" s="440" t="s">
        <v>506</v>
      </c>
      <c r="B46" s="440"/>
      <c r="C46" s="440"/>
      <c r="D46" s="582">
        <v>71000</v>
      </c>
      <c r="E46" s="582"/>
      <c r="F46" s="582"/>
      <c r="G46" s="261">
        <v>55915.08</v>
      </c>
      <c r="H46" s="583">
        <v>31528.65</v>
      </c>
      <c r="I46" s="583"/>
      <c r="J46" s="583"/>
      <c r="K46" s="262">
        <v>31528.65</v>
      </c>
      <c r="L46" s="262">
        <v>31132.75</v>
      </c>
      <c r="M46" s="261">
        <v>24386.43</v>
      </c>
    </row>
    <row r="47" spans="1:13" ht="18" customHeight="1">
      <c r="A47" s="447" t="s">
        <v>500</v>
      </c>
      <c r="B47" s="447"/>
      <c r="C47" s="447"/>
      <c r="D47" s="580">
        <v>71000</v>
      </c>
      <c r="E47" s="580"/>
      <c r="F47" s="580"/>
      <c r="G47" s="264">
        <v>60634</v>
      </c>
      <c r="H47" s="581">
        <v>51114</v>
      </c>
      <c r="I47" s="581"/>
      <c r="J47" s="581"/>
      <c r="K47" s="265">
        <v>36189</v>
      </c>
      <c r="L47" s="265">
        <v>36189</v>
      </c>
      <c r="M47" s="264">
        <v>9520</v>
      </c>
    </row>
    <row r="48" spans="1:13" ht="18" customHeight="1">
      <c r="A48" s="440" t="s">
        <v>499</v>
      </c>
      <c r="B48" s="440"/>
      <c r="C48" s="440"/>
      <c r="D48" s="582">
        <v>45600</v>
      </c>
      <c r="E48" s="582"/>
      <c r="F48" s="582"/>
      <c r="G48" s="261">
        <v>45081</v>
      </c>
      <c r="H48" s="583">
        <v>45081</v>
      </c>
      <c r="I48" s="583"/>
      <c r="J48" s="583"/>
      <c r="K48" s="262">
        <v>30156</v>
      </c>
      <c r="L48" s="262">
        <v>30156</v>
      </c>
      <c r="M48" s="261">
        <v>0</v>
      </c>
    </row>
    <row r="49" spans="1:13" ht="18" customHeight="1">
      <c r="A49" s="447" t="s">
        <v>496</v>
      </c>
      <c r="B49" s="447"/>
      <c r="C49" s="447"/>
      <c r="D49" s="580">
        <v>25400</v>
      </c>
      <c r="E49" s="580"/>
      <c r="F49" s="580"/>
      <c r="G49" s="264">
        <v>15553</v>
      </c>
      <c r="H49" s="581">
        <v>6033</v>
      </c>
      <c r="I49" s="581"/>
      <c r="J49" s="581"/>
      <c r="K49" s="265">
        <v>6033</v>
      </c>
      <c r="L49" s="265">
        <v>6033</v>
      </c>
      <c r="M49" s="264">
        <v>9520</v>
      </c>
    </row>
    <row r="50" spans="1:13" ht="18" customHeight="1">
      <c r="A50" s="440" t="s">
        <v>493</v>
      </c>
      <c r="B50" s="440"/>
      <c r="C50" s="440"/>
      <c r="D50" s="582">
        <v>633210.35</v>
      </c>
      <c r="E50" s="582"/>
      <c r="F50" s="582"/>
      <c r="G50" s="261">
        <v>826048.65</v>
      </c>
      <c r="H50" s="583">
        <v>743838.1</v>
      </c>
      <c r="I50" s="583"/>
      <c r="J50" s="583"/>
      <c r="K50" s="262">
        <v>643431.56999999995</v>
      </c>
      <c r="L50" s="262">
        <v>643431.56999999995</v>
      </c>
      <c r="M50" s="261">
        <v>82210.55</v>
      </c>
    </row>
    <row r="51" spans="1:13" ht="18" customHeight="1">
      <c r="A51" s="447" t="s">
        <v>492</v>
      </c>
      <c r="B51" s="447"/>
      <c r="C51" s="447"/>
      <c r="D51" s="580">
        <v>0</v>
      </c>
      <c r="E51" s="580"/>
      <c r="F51" s="580"/>
      <c r="G51" s="264">
        <v>12756</v>
      </c>
      <c r="H51" s="581">
        <v>12756</v>
      </c>
      <c r="I51" s="581"/>
      <c r="J51" s="581"/>
      <c r="K51" s="265">
        <v>0</v>
      </c>
      <c r="L51" s="265">
        <v>0</v>
      </c>
      <c r="M51" s="264">
        <v>0</v>
      </c>
    </row>
    <row r="52" spans="1:13" ht="18" customHeight="1">
      <c r="A52" s="440" t="s">
        <v>490</v>
      </c>
      <c r="B52" s="440"/>
      <c r="C52" s="440"/>
      <c r="D52" s="582">
        <v>29780.81</v>
      </c>
      <c r="E52" s="582"/>
      <c r="F52" s="582"/>
      <c r="G52" s="261">
        <v>50000</v>
      </c>
      <c r="H52" s="583">
        <v>7037.52</v>
      </c>
      <c r="I52" s="583"/>
      <c r="J52" s="583"/>
      <c r="K52" s="262">
        <v>7037.52</v>
      </c>
      <c r="L52" s="262">
        <v>7037.52</v>
      </c>
      <c r="M52" s="261">
        <v>42962.48</v>
      </c>
    </row>
    <row r="53" spans="1:13" ht="18" customHeight="1">
      <c r="A53" s="447" t="s">
        <v>488</v>
      </c>
      <c r="B53" s="447"/>
      <c r="C53" s="447"/>
      <c r="D53" s="580">
        <v>577229.54</v>
      </c>
      <c r="E53" s="580"/>
      <c r="F53" s="580"/>
      <c r="G53" s="264">
        <v>748802.65</v>
      </c>
      <c r="H53" s="581">
        <v>710095.55</v>
      </c>
      <c r="I53" s="581"/>
      <c r="J53" s="581"/>
      <c r="K53" s="265">
        <v>622445.02</v>
      </c>
      <c r="L53" s="265">
        <v>622445.02</v>
      </c>
      <c r="M53" s="264">
        <v>38707.1</v>
      </c>
    </row>
    <row r="54" spans="1:13" ht="18" customHeight="1">
      <c r="A54" s="440" t="s">
        <v>469</v>
      </c>
      <c r="B54" s="440"/>
      <c r="C54" s="440"/>
      <c r="D54" s="582">
        <v>26200</v>
      </c>
      <c r="E54" s="582"/>
      <c r="F54" s="582"/>
      <c r="G54" s="261">
        <v>14490</v>
      </c>
      <c r="H54" s="583">
        <v>13949.03</v>
      </c>
      <c r="I54" s="583"/>
      <c r="J54" s="583"/>
      <c r="K54" s="262">
        <v>13949.03</v>
      </c>
      <c r="L54" s="262">
        <v>13949.03</v>
      </c>
      <c r="M54" s="261">
        <v>540.97</v>
      </c>
    </row>
    <row r="55" spans="1:13" ht="18" customHeight="1">
      <c r="A55" s="447" t="s">
        <v>466</v>
      </c>
      <c r="B55" s="447"/>
      <c r="C55" s="447"/>
      <c r="D55" s="580">
        <v>76949.850000000006</v>
      </c>
      <c r="E55" s="580"/>
      <c r="F55" s="580"/>
      <c r="G55" s="264">
        <v>176020.8</v>
      </c>
      <c r="H55" s="581">
        <v>165795.92000000001</v>
      </c>
      <c r="I55" s="581"/>
      <c r="J55" s="581"/>
      <c r="K55" s="265">
        <v>80795.92</v>
      </c>
      <c r="L55" s="265">
        <v>80795.92</v>
      </c>
      <c r="M55" s="264">
        <v>10224.879999999999</v>
      </c>
    </row>
    <row r="56" spans="1:13" ht="18" customHeight="1">
      <c r="A56" s="440" t="s">
        <v>466</v>
      </c>
      <c r="B56" s="440"/>
      <c r="C56" s="440"/>
      <c r="D56" s="582">
        <v>76949.850000000006</v>
      </c>
      <c r="E56" s="582"/>
      <c r="F56" s="582"/>
      <c r="G56" s="261">
        <v>176020.8</v>
      </c>
      <c r="H56" s="583">
        <v>165795.92000000001</v>
      </c>
      <c r="I56" s="583"/>
      <c r="J56" s="583"/>
      <c r="K56" s="262">
        <v>80795.92</v>
      </c>
      <c r="L56" s="262">
        <v>80795.92</v>
      </c>
      <c r="M56" s="261">
        <v>10224.879999999999</v>
      </c>
    </row>
    <row r="57" spans="1:13" ht="18" customHeight="1">
      <c r="A57" s="447" t="s">
        <v>461</v>
      </c>
      <c r="B57" s="447"/>
      <c r="C57" s="447"/>
      <c r="D57" s="580">
        <v>401194.37</v>
      </c>
      <c r="E57" s="580"/>
      <c r="F57" s="580"/>
      <c r="G57" s="264">
        <v>451125.06</v>
      </c>
      <c r="H57" s="581">
        <v>447812.7</v>
      </c>
      <c r="I57" s="581"/>
      <c r="J57" s="581"/>
      <c r="K57" s="265">
        <v>382362.7</v>
      </c>
      <c r="L57" s="265">
        <v>382362.7</v>
      </c>
      <c r="M57" s="264">
        <v>3312.36</v>
      </c>
    </row>
    <row r="58" spans="1:13" ht="18" customHeight="1">
      <c r="A58" s="440" t="s">
        <v>460</v>
      </c>
      <c r="B58" s="440"/>
      <c r="C58" s="440"/>
      <c r="D58" s="582">
        <v>87394.49</v>
      </c>
      <c r="E58" s="582"/>
      <c r="F58" s="582"/>
      <c r="G58" s="261">
        <v>75501.399999999994</v>
      </c>
      <c r="H58" s="583">
        <v>75501.399999999994</v>
      </c>
      <c r="I58" s="583"/>
      <c r="J58" s="583"/>
      <c r="K58" s="262">
        <v>75501.399999999994</v>
      </c>
      <c r="L58" s="262">
        <v>75501.399999999994</v>
      </c>
      <c r="M58" s="261">
        <v>0</v>
      </c>
    </row>
    <row r="59" spans="1:13" ht="18" customHeight="1">
      <c r="A59" s="447" t="s">
        <v>458</v>
      </c>
      <c r="B59" s="447"/>
      <c r="C59" s="447"/>
      <c r="D59" s="580">
        <v>62419.82</v>
      </c>
      <c r="E59" s="580"/>
      <c r="F59" s="580"/>
      <c r="G59" s="264">
        <v>103143.53</v>
      </c>
      <c r="H59" s="581">
        <v>99831.18</v>
      </c>
      <c r="I59" s="581"/>
      <c r="J59" s="581"/>
      <c r="K59" s="265">
        <v>34381.18</v>
      </c>
      <c r="L59" s="265">
        <v>34381.18</v>
      </c>
      <c r="M59" s="264">
        <v>3312.35</v>
      </c>
    </row>
    <row r="60" spans="1:13" ht="18" customHeight="1">
      <c r="A60" s="440" t="s">
        <v>456</v>
      </c>
      <c r="B60" s="440"/>
      <c r="C60" s="440"/>
      <c r="D60" s="582">
        <v>251380.06</v>
      </c>
      <c r="E60" s="582"/>
      <c r="F60" s="582"/>
      <c r="G60" s="261">
        <v>272480.13</v>
      </c>
      <c r="H60" s="583">
        <v>272480.12</v>
      </c>
      <c r="I60" s="583"/>
      <c r="J60" s="583"/>
      <c r="K60" s="262">
        <v>272480.12</v>
      </c>
      <c r="L60" s="262">
        <v>272480.12</v>
      </c>
      <c r="M60" s="261">
        <v>0.01</v>
      </c>
    </row>
    <row r="61" spans="1:13" ht="18" customHeight="1">
      <c r="A61" s="447" t="s">
        <v>454</v>
      </c>
      <c r="B61" s="447"/>
      <c r="C61" s="447"/>
      <c r="D61" s="580">
        <v>72000</v>
      </c>
      <c r="E61" s="580"/>
      <c r="F61" s="580"/>
      <c r="G61" s="264">
        <v>326494.56</v>
      </c>
      <c r="H61" s="581">
        <v>114758.08</v>
      </c>
      <c r="I61" s="581"/>
      <c r="J61" s="581"/>
      <c r="K61" s="265">
        <v>102878.08</v>
      </c>
      <c r="L61" s="265">
        <v>100621.6</v>
      </c>
      <c r="M61" s="264">
        <v>211736.48</v>
      </c>
    </row>
    <row r="62" spans="1:13" ht="18" customHeight="1">
      <c r="A62" s="440" t="s">
        <v>453</v>
      </c>
      <c r="B62" s="440"/>
      <c r="C62" s="440"/>
      <c r="D62" s="582">
        <v>72000</v>
      </c>
      <c r="E62" s="582"/>
      <c r="F62" s="582"/>
      <c r="G62" s="261">
        <v>326494.56</v>
      </c>
      <c r="H62" s="583">
        <v>114758.08</v>
      </c>
      <c r="I62" s="583"/>
      <c r="J62" s="583"/>
      <c r="K62" s="262">
        <v>102878.08</v>
      </c>
      <c r="L62" s="262">
        <v>100621.6</v>
      </c>
      <c r="M62" s="261">
        <v>211736.48</v>
      </c>
    </row>
    <row r="63" spans="1:13" ht="18" customHeight="1">
      <c r="A63" s="447" t="s">
        <v>452</v>
      </c>
      <c r="B63" s="447"/>
      <c r="C63" s="447"/>
      <c r="D63" s="580">
        <v>0</v>
      </c>
      <c r="E63" s="580"/>
      <c r="F63" s="580"/>
      <c r="G63" s="264">
        <v>200000</v>
      </c>
      <c r="H63" s="581">
        <v>11880</v>
      </c>
      <c r="I63" s="581"/>
      <c r="J63" s="581"/>
      <c r="K63" s="265">
        <v>0</v>
      </c>
      <c r="L63" s="265">
        <v>0</v>
      </c>
      <c r="M63" s="264">
        <v>188120</v>
      </c>
    </row>
    <row r="64" spans="1:13" ht="18" customHeight="1">
      <c r="A64" s="440" t="s">
        <v>450</v>
      </c>
      <c r="B64" s="440"/>
      <c r="C64" s="440"/>
      <c r="D64" s="582">
        <v>72000</v>
      </c>
      <c r="E64" s="582"/>
      <c r="F64" s="582"/>
      <c r="G64" s="261">
        <v>126494.56</v>
      </c>
      <c r="H64" s="583">
        <v>102878.08</v>
      </c>
      <c r="I64" s="583"/>
      <c r="J64" s="583"/>
      <c r="K64" s="262">
        <v>102878.08</v>
      </c>
      <c r="L64" s="262">
        <v>100621.6</v>
      </c>
      <c r="M64" s="261">
        <v>23616.48</v>
      </c>
    </row>
    <row r="65" spans="1:13" ht="18" customHeight="1">
      <c r="A65" s="447" t="s">
        <v>446</v>
      </c>
      <c r="B65" s="447"/>
      <c r="C65" s="447"/>
      <c r="D65" s="580">
        <v>36209.910000000003</v>
      </c>
      <c r="E65" s="580"/>
      <c r="F65" s="580"/>
      <c r="G65" s="264">
        <v>3744</v>
      </c>
      <c r="H65" s="581">
        <v>0</v>
      </c>
      <c r="I65" s="581"/>
      <c r="J65" s="581"/>
      <c r="K65" s="265">
        <v>0</v>
      </c>
      <c r="L65" s="265">
        <v>0</v>
      </c>
      <c r="M65" s="264">
        <v>3744</v>
      </c>
    </row>
    <row r="66" spans="1:13" ht="18" customHeight="1">
      <c r="A66" s="591" t="s">
        <v>444</v>
      </c>
      <c r="B66" s="591"/>
      <c r="C66" s="591"/>
      <c r="D66" s="592">
        <v>3472176.26</v>
      </c>
      <c r="E66" s="592"/>
      <c r="F66" s="592"/>
      <c r="G66" s="269">
        <v>3997383.92</v>
      </c>
      <c r="H66" s="593">
        <v>3644553.49</v>
      </c>
      <c r="I66" s="593"/>
      <c r="J66" s="593"/>
      <c r="K66" s="270">
        <v>3366891.96</v>
      </c>
      <c r="L66" s="270">
        <v>3364239.58</v>
      </c>
      <c r="M66" s="269">
        <v>352830.43</v>
      </c>
    </row>
    <row r="67" spans="1:13" ht="18" customHeight="1">
      <c r="A67" s="587" t="s">
        <v>443</v>
      </c>
      <c r="B67" s="587"/>
      <c r="C67" s="587"/>
      <c r="D67" s="588">
        <v>0</v>
      </c>
      <c r="E67" s="588"/>
      <c r="F67" s="588"/>
      <c r="G67" s="267">
        <v>0</v>
      </c>
      <c r="H67" s="589">
        <v>263375.33</v>
      </c>
      <c r="I67" s="589"/>
      <c r="J67" s="589"/>
      <c r="K67" s="268">
        <v>0</v>
      </c>
      <c r="L67" s="268">
        <v>0</v>
      </c>
      <c r="M67" s="267">
        <v>263375.33</v>
      </c>
    </row>
    <row r="68" spans="1:13" ht="18" customHeight="1">
      <c r="A68" s="591" t="s">
        <v>3</v>
      </c>
      <c r="B68" s="591"/>
      <c r="C68" s="591"/>
      <c r="D68" s="592">
        <v>3472176.26</v>
      </c>
      <c r="E68" s="592"/>
      <c r="F68" s="592"/>
      <c r="G68" s="269">
        <v>3997383.92</v>
      </c>
      <c r="H68" s="593">
        <v>3907928.82</v>
      </c>
      <c r="I68" s="593"/>
      <c r="J68" s="593"/>
      <c r="K68" s="270">
        <v>3366891.96</v>
      </c>
      <c r="L68" s="270">
        <v>3364239.58</v>
      </c>
      <c r="M68" s="269">
        <v>89455.1</v>
      </c>
    </row>
    <row r="69" spans="1:13" ht="6.75" customHeight="1"/>
    <row r="70" spans="1:13" ht="12.75" customHeight="1">
      <c r="A70" s="257" t="s">
        <v>615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449" t="s">
        <v>604</v>
      </c>
      <c r="M70" s="449"/>
    </row>
    <row r="71" spans="1:13" ht="13.5" customHeight="1">
      <c r="F71" s="595" t="s">
        <v>616</v>
      </c>
      <c r="G71" s="595"/>
      <c r="H71" s="595"/>
    </row>
    <row r="72" spans="1:13" ht="7.5" customHeight="1"/>
    <row r="73" spans="1:13" ht="12.75" customHeight="1">
      <c r="E73" s="595" t="s">
        <v>616</v>
      </c>
      <c r="F73" s="595"/>
      <c r="G73" s="595"/>
      <c r="H73" s="595"/>
      <c r="I73" s="595"/>
      <c r="L73" s="449" t="s">
        <v>604</v>
      </c>
      <c r="M73" s="449"/>
    </row>
  </sheetData>
  <mergeCells count="177">
    <mergeCell ref="A68:C68"/>
    <mergeCell ref="D68:F68"/>
    <mergeCell ref="H68:J68"/>
    <mergeCell ref="L70:M70"/>
    <mergeCell ref="F71:H71"/>
    <mergeCell ref="E73:I73"/>
    <mergeCell ref="L73:M73"/>
    <mergeCell ref="A66:C66"/>
    <mergeCell ref="D66:F66"/>
    <mergeCell ref="H66:J66"/>
    <mergeCell ref="A67:C67"/>
    <mergeCell ref="D67:F67"/>
    <mergeCell ref="H67:J67"/>
    <mergeCell ref="A64:C64"/>
    <mergeCell ref="D64:F64"/>
    <mergeCell ref="H64:J64"/>
    <mergeCell ref="A65:C65"/>
    <mergeCell ref="D65:F65"/>
    <mergeCell ref="H65:J65"/>
    <mergeCell ref="A62:C62"/>
    <mergeCell ref="D62:F62"/>
    <mergeCell ref="H62:J62"/>
    <mergeCell ref="A63:C63"/>
    <mergeCell ref="D63:F63"/>
    <mergeCell ref="H63:J63"/>
    <mergeCell ref="A60:C60"/>
    <mergeCell ref="D60:F60"/>
    <mergeCell ref="H60:J60"/>
    <mergeCell ref="A61:C61"/>
    <mergeCell ref="D61:F61"/>
    <mergeCell ref="H61:J61"/>
    <mergeCell ref="A58:C58"/>
    <mergeCell ref="D58:F58"/>
    <mergeCell ref="H58:J58"/>
    <mergeCell ref="A59:C59"/>
    <mergeCell ref="D59:F59"/>
    <mergeCell ref="H59:J59"/>
    <mergeCell ref="A56:C56"/>
    <mergeCell ref="D56:F56"/>
    <mergeCell ref="H56:J56"/>
    <mergeCell ref="A57:C57"/>
    <mergeCell ref="D57:F57"/>
    <mergeCell ref="H57:J57"/>
    <mergeCell ref="A54:C54"/>
    <mergeCell ref="D54:F54"/>
    <mergeCell ref="H54:J54"/>
    <mergeCell ref="A55:C55"/>
    <mergeCell ref="D55:F55"/>
    <mergeCell ref="H55:J55"/>
    <mergeCell ref="A52:C52"/>
    <mergeCell ref="D52:F52"/>
    <mergeCell ref="H52:J52"/>
    <mergeCell ref="A53:C53"/>
    <mergeCell ref="D53:F53"/>
    <mergeCell ref="H53:J53"/>
    <mergeCell ref="A50:C50"/>
    <mergeCell ref="D50:F50"/>
    <mergeCell ref="H50:J50"/>
    <mergeCell ref="A51:C51"/>
    <mergeCell ref="D51:F51"/>
    <mergeCell ref="H51:J51"/>
    <mergeCell ref="A48:C48"/>
    <mergeCell ref="D48:F48"/>
    <mergeCell ref="H48:J48"/>
    <mergeCell ref="A49:C49"/>
    <mergeCell ref="D49:F49"/>
    <mergeCell ref="H49:J49"/>
    <mergeCell ref="A46:C46"/>
    <mergeCell ref="D46:F46"/>
    <mergeCell ref="H46:J46"/>
    <mergeCell ref="A47:C47"/>
    <mergeCell ref="D47:F47"/>
    <mergeCell ref="H47:J47"/>
    <mergeCell ref="A44:C44"/>
    <mergeCell ref="D44:F44"/>
    <mergeCell ref="H44:J44"/>
    <mergeCell ref="A45:C45"/>
    <mergeCell ref="D45:F45"/>
    <mergeCell ref="H45:J45"/>
    <mergeCell ref="A42:C42"/>
    <mergeCell ref="D42:F42"/>
    <mergeCell ref="H42:J42"/>
    <mergeCell ref="A43:C43"/>
    <mergeCell ref="D43:F43"/>
    <mergeCell ref="H43:J43"/>
    <mergeCell ref="A40:C40"/>
    <mergeCell ref="D40:F40"/>
    <mergeCell ref="H40:J40"/>
    <mergeCell ref="A41:C41"/>
    <mergeCell ref="D41:F41"/>
    <mergeCell ref="H41:J41"/>
    <mergeCell ref="A38:C38"/>
    <mergeCell ref="D38:F38"/>
    <mergeCell ref="H38:J38"/>
    <mergeCell ref="A39:C39"/>
    <mergeCell ref="D39:F39"/>
    <mergeCell ref="H39:J39"/>
    <mergeCell ref="A36:C36"/>
    <mergeCell ref="D36:F36"/>
    <mergeCell ref="H36:J36"/>
    <mergeCell ref="A37:C37"/>
    <mergeCell ref="D37:F37"/>
    <mergeCell ref="H37:J37"/>
    <mergeCell ref="A34:C34"/>
    <mergeCell ref="D34:F34"/>
    <mergeCell ref="H34:J34"/>
    <mergeCell ref="A35:C35"/>
    <mergeCell ref="D35:F35"/>
    <mergeCell ref="H35:J35"/>
    <mergeCell ref="A32:C32"/>
    <mergeCell ref="D32:F32"/>
    <mergeCell ref="H32:J32"/>
    <mergeCell ref="A33:C33"/>
    <mergeCell ref="D33:F33"/>
    <mergeCell ref="H33:J33"/>
    <mergeCell ref="A30:C30"/>
    <mergeCell ref="D30:F30"/>
    <mergeCell ref="H30:J30"/>
    <mergeCell ref="A31:C31"/>
    <mergeCell ref="D31:F31"/>
    <mergeCell ref="H31:J31"/>
    <mergeCell ref="A28:C28"/>
    <mergeCell ref="D28:F28"/>
    <mergeCell ref="H28:J28"/>
    <mergeCell ref="A29:C29"/>
    <mergeCell ref="D29:F29"/>
    <mergeCell ref="H29:J29"/>
    <mergeCell ref="A26:C26"/>
    <mergeCell ref="D26:F26"/>
    <mergeCell ref="H26:J26"/>
    <mergeCell ref="A27:C27"/>
    <mergeCell ref="D27:F27"/>
    <mergeCell ref="H27:J27"/>
    <mergeCell ref="A24:C24"/>
    <mergeCell ref="D24:F24"/>
    <mergeCell ref="H24:J24"/>
    <mergeCell ref="A25:C25"/>
    <mergeCell ref="D25:F25"/>
    <mergeCell ref="H25:J25"/>
    <mergeCell ref="A22:C22"/>
    <mergeCell ref="D22:F22"/>
    <mergeCell ref="H22:J22"/>
    <mergeCell ref="A23:C23"/>
    <mergeCell ref="D23:F23"/>
    <mergeCell ref="H23:J23"/>
    <mergeCell ref="A20:C20"/>
    <mergeCell ref="D20:F20"/>
    <mergeCell ref="H20:J20"/>
    <mergeCell ref="A21:C21"/>
    <mergeCell ref="D21:F21"/>
    <mergeCell ref="H21:J21"/>
    <mergeCell ref="A18:C18"/>
    <mergeCell ref="D18:F18"/>
    <mergeCell ref="H18:J18"/>
    <mergeCell ref="A19:C19"/>
    <mergeCell ref="D19:F19"/>
    <mergeCell ref="H19:J19"/>
    <mergeCell ref="A17:C17"/>
    <mergeCell ref="D17:F17"/>
    <mergeCell ref="H17:J17"/>
    <mergeCell ref="A11:M11"/>
    <mergeCell ref="A13:M13"/>
    <mergeCell ref="A14:C14"/>
    <mergeCell ref="D14:F14"/>
    <mergeCell ref="H14:J14"/>
    <mergeCell ref="A15:C15"/>
    <mergeCell ref="D15:F15"/>
    <mergeCell ref="H15:J15"/>
    <mergeCell ref="A2:K2"/>
    <mergeCell ref="A3:K3"/>
    <mergeCell ref="A5:C6"/>
    <mergeCell ref="A8:M8"/>
    <mergeCell ref="L9:M9"/>
    <mergeCell ref="A10:M10"/>
    <mergeCell ref="A16:C16"/>
    <mergeCell ref="D16:F16"/>
    <mergeCell ref="H16:J16"/>
  </mergeCells>
  <pageMargins left="0.19666667282581329" right="0.19666667282581329" top="0.20000000298023224" bottom="0.20000000298023224" header="0.3" footer="0.3"/>
  <pageSetup paperSize="9" orientation="landscape" errors="blank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A5664"/>
  </sheetPr>
  <dimension ref="A1:S127"/>
  <sheetViews>
    <sheetView showGridLines="0" zoomScale="70" zoomScaleNormal="70" zoomScaleSheetLayoutView="50" workbookViewId="0">
      <selection activeCell="M17" sqref="M17"/>
    </sheetView>
  </sheetViews>
  <sheetFormatPr defaultColWidth="9.140625" defaultRowHeight="23.25" zeroHeight="1"/>
  <cols>
    <col min="1" max="1" width="57" style="111" customWidth="1"/>
    <col min="2" max="2" width="68.5703125" style="112" customWidth="1"/>
    <col min="3" max="3" width="9.5703125" style="113" customWidth="1"/>
    <col min="4" max="4" width="18.42578125" style="113" customWidth="1"/>
    <col min="5" max="5" width="18.28515625" style="112" customWidth="1"/>
    <col min="6" max="6" width="23.7109375" style="112" customWidth="1"/>
    <col min="7" max="7" width="17" style="114" customWidth="1"/>
    <col min="8" max="8" width="21.28515625" style="90" hidden="1" customWidth="1"/>
    <col min="9" max="9" width="17" style="90" customWidth="1"/>
    <col min="10" max="10" width="20.140625" style="88" bestFit="1" customWidth="1"/>
    <col min="11" max="11" width="12" style="88" bestFit="1" customWidth="1"/>
    <col min="12" max="13" width="9.140625" style="88"/>
    <col min="14" max="14" width="10" style="88" bestFit="1" customWidth="1"/>
    <col min="15" max="15" width="9.140625" style="88"/>
    <col min="16" max="16" width="22.140625" style="88" bestFit="1" customWidth="1"/>
    <col min="17" max="17" width="9.28515625" style="88" bestFit="1" customWidth="1"/>
    <col min="18" max="16384" width="9.140625" style="88"/>
  </cols>
  <sheetData>
    <row r="1" spans="1:19" s="89" customFormat="1" ht="69.75" customHeight="1">
      <c r="A1" s="334" t="s">
        <v>580</v>
      </c>
      <c r="B1" s="334"/>
      <c r="C1" s="334"/>
      <c r="D1" s="334"/>
      <c r="E1" s="334"/>
      <c r="F1" s="334"/>
      <c r="G1" s="334"/>
      <c r="H1" s="90"/>
      <c r="I1" s="90"/>
      <c r="J1" s="293" t="s">
        <v>622</v>
      </c>
      <c r="K1" s="294">
        <v>6589</v>
      </c>
      <c r="L1" s="295"/>
      <c r="M1" s="316" t="s">
        <v>623</v>
      </c>
      <c r="N1" s="316"/>
      <c r="O1" s="316"/>
      <c r="P1" s="296">
        <v>3094325</v>
      </c>
      <c r="Q1" s="297"/>
      <c r="R1" s="283"/>
      <c r="S1" s="88"/>
    </row>
    <row r="2" spans="1:19" s="89" customFormat="1" ht="45" customHeight="1" thickBot="1">
      <c r="A2" s="334" t="s">
        <v>323</v>
      </c>
      <c r="B2" s="334"/>
      <c r="C2" s="334"/>
      <c r="D2" s="334"/>
      <c r="E2" s="334"/>
      <c r="F2" s="334"/>
      <c r="G2" s="334"/>
      <c r="J2" s="298" t="s">
        <v>273</v>
      </c>
      <c r="K2" s="299">
        <v>18638</v>
      </c>
      <c r="L2" s="299"/>
      <c r="M2" s="299" t="s">
        <v>624</v>
      </c>
      <c r="N2" s="299"/>
      <c r="O2" s="299">
        <v>781</v>
      </c>
      <c r="P2" s="299" t="s">
        <v>625</v>
      </c>
      <c r="Q2" s="300">
        <v>32</v>
      </c>
      <c r="R2" s="288"/>
    </row>
    <row r="3" spans="1:19" s="89" customFormat="1" ht="21" customHeight="1">
      <c r="A3" s="91"/>
      <c r="B3" s="91"/>
      <c r="C3" s="91"/>
      <c r="D3" s="91"/>
      <c r="E3" s="91"/>
      <c r="F3" s="91"/>
      <c r="G3" s="92"/>
      <c r="H3" s="90"/>
      <c r="I3" s="90"/>
    </row>
    <row r="4" spans="1:19" s="89" customFormat="1" ht="45" hidden="1" customHeight="1" thickBot="1">
      <c r="A4" s="377" t="s">
        <v>41</v>
      </c>
      <c r="B4" s="378"/>
      <c r="C4" s="378"/>
      <c r="D4" s="378"/>
      <c r="E4" s="378"/>
      <c r="F4" s="379"/>
      <c r="G4" s="380"/>
      <c r="H4" s="115"/>
      <c r="I4" s="205" t="s">
        <v>317</v>
      </c>
      <c r="J4" s="188"/>
      <c r="K4" s="188"/>
      <c r="L4" s="188"/>
      <c r="M4" s="188"/>
      <c r="N4" s="188"/>
      <c r="O4" s="188"/>
      <c r="P4" s="188"/>
      <c r="Q4" s="188"/>
      <c r="R4" s="189"/>
    </row>
    <row r="5" spans="1:19" s="89" customFormat="1" ht="54.75" hidden="1" customHeight="1">
      <c r="A5" s="93" t="s">
        <v>14</v>
      </c>
      <c r="B5" s="381" t="s">
        <v>39</v>
      </c>
      <c r="C5" s="382"/>
      <c r="D5" s="183" t="s">
        <v>315</v>
      </c>
      <c r="E5" s="183" t="s">
        <v>314</v>
      </c>
      <c r="F5" s="94" t="s">
        <v>313</v>
      </c>
      <c r="G5" s="175" t="s">
        <v>312</v>
      </c>
      <c r="H5" s="115"/>
      <c r="I5" s="323" t="s">
        <v>316</v>
      </c>
      <c r="J5" s="324"/>
      <c r="K5" s="324"/>
      <c r="L5" s="324"/>
      <c r="M5" s="324"/>
      <c r="N5" s="324"/>
      <c r="O5" s="324"/>
      <c r="P5" s="324"/>
      <c r="Q5" s="324"/>
      <c r="R5" s="325"/>
      <c r="S5" s="184"/>
    </row>
    <row r="6" spans="1:19" s="89" customFormat="1" ht="30.75" hidden="1" customHeight="1">
      <c r="A6" s="383" t="s">
        <v>170</v>
      </c>
      <c r="B6" s="95" t="s">
        <v>118</v>
      </c>
      <c r="C6" s="385" t="s">
        <v>55</v>
      </c>
      <c r="D6" s="176"/>
      <c r="E6" s="347"/>
      <c r="F6" s="332"/>
      <c r="G6" s="352"/>
      <c r="H6" s="330"/>
      <c r="I6" s="323"/>
      <c r="J6" s="324"/>
      <c r="K6" s="324"/>
      <c r="L6" s="324"/>
      <c r="M6" s="324"/>
      <c r="N6" s="324"/>
      <c r="O6" s="324"/>
      <c r="P6" s="324"/>
      <c r="Q6" s="324"/>
      <c r="R6" s="325"/>
      <c r="S6" s="185"/>
    </row>
    <row r="7" spans="1:19" s="89" customFormat="1" ht="30.75" hidden="1" customHeight="1" thickBot="1">
      <c r="A7" s="384"/>
      <c r="B7" s="96" t="s">
        <v>119</v>
      </c>
      <c r="C7" s="386"/>
      <c r="D7" s="177"/>
      <c r="E7" s="347"/>
      <c r="F7" s="332"/>
      <c r="G7" s="352"/>
      <c r="H7" s="330"/>
      <c r="I7" s="326"/>
      <c r="J7" s="327"/>
      <c r="K7" s="327"/>
      <c r="L7" s="327"/>
      <c r="M7" s="327"/>
      <c r="N7" s="327"/>
      <c r="O7" s="327"/>
      <c r="P7" s="327"/>
      <c r="Q7" s="327"/>
      <c r="R7" s="328"/>
      <c r="S7" s="185"/>
    </row>
    <row r="8" spans="1:19" s="89" customFormat="1" ht="24" customHeight="1">
      <c r="A8" s="97"/>
      <c r="B8" s="98"/>
      <c r="C8" s="98"/>
      <c r="D8" s="98"/>
      <c r="E8" s="98"/>
      <c r="F8" s="98"/>
      <c r="G8" s="99"/>
      <c r="H8" s="115"/>
      <c r="I8" s="115"/>
      <c r="J8" s="329" t="s">
        <v>621</v>
      </c>
      <c r="K8" s="329"/>
      <c r="L8" s="329"/>
      <c r="M8" s="329"/>
      <c r="N8" s="329"/>
      <c r="O8" s="329"/>
      <c r="P8" s="329"/>
      <c r="Q8" s="329"/>
      <c r="R8" s="329"/>
      <c r="S8" s="329"/>
    </row>
    <row r="9" spans="1:19" s="89" customFormat="1" ht="45" customHeight="1">
      <c r="A9" s="389" t="s">
        <v>40</v>
      </c>
      <c r="B9" s="389"/>
      <c r="C9" s="389"/>
      <c r="D9" s="389"/>
      <c r="E9" s="389"/>
      <c r="F9" s="389"/>
      <c r="G9" s="389"/>
      <c r="H9" s="115"/>
      <c r="I9" s="115"/>
      <c r="J9" s="329"/>
      <c r="K9" s="329"/>
      <c r="L9" s="329"/>
      <c r="M9" s="329"/>
      <c r="N9" s="329"/>
      <c r="O9" s="329"/>
      <c r="P9" s="329"/>
      <c r="Q9" s="329"/>
      <c r="R9" s="329"/>
      <c r="S9" s="329"/>
    </row>
    <row r="10" spans="1:19" s="89" customFormat="1" ht="54" customHeight="1">
      <c r="A10" s="100" t="s">
        <v>15</v>
      </c>
      <c r="B10" s="344" t="s">
        <v>39</v>
      </c>
      <c r="C10" s="344"/>
      <c r="D10" s="183" t="s">
        <v>315</v>
      </c>
      <c r="E10" s="183" t="s">
        <v>314</v>
      </c>
      <c r="F10" s="175" t="s">
        <v>313</v>
      </c>
      <c r="G10" s="175" t="s">
        <v>312</v>
      </c>
      <c r="H10" s="241" t="s">
        <v>313</v>
      </c>
      <c r="I10" s="115"/>
      <c r="J10" s="322" t="s">
        <v>797</v>
      </c>
      <c r="K10" s="322"/>
      <c r="L10" s="322"/>
      <c r="M10" s="322"/>
      <c r="N10" s="322"/>
      <c r="O10" s="322"/>
      <c r="P10" s="322"/>
      <c r="Q10" s="322"/>
      <c r="R10" s="322"/>
      <c r="S10" s="322"/>
    </row>
    <row r="11" spans="1:19" s="89" customFormat="1" ht="34.5" customHeight="1">
      <c r="A11" s="371" t="s">
        <v>171</v>
      </c>
      <c r="B11" s="101" t="s">
        <v>120</v>
      </c>
      <c r="C11" s="366" t="s">
        <v>55</v>
      </c>
      <c r="D11" s="347" t="s">
        <v>385</v>
      </c>
      <c r="E11" s="347" t="s">
        <v>385</v>
      </c>
      <c r="F11" s="375">
        <v>0.6</v>
      </c>
      <c r="G11" s="372">
        <v>1.55</v>
      </c>
      <c r="H11" s="317" t="b">
        <f>F11='[3]Indicadores e Metas'!$F$13</f>
        <v>1</v>
      </c>
      <c r="I11" s="318"/>
      <c r="J11" s="322"/>
      <c r="K11" s="322"/>
      <c r="L11" s="322"/>
      <c r="M11" s="322"/>
      <c r="N11" s="322"/>
      <c r="O11" s="322"/>
      <c r="P11" s="322"/>
      <c r="Q11" s="322"/>
      <c r="R11" s="322"/>
      <c r="S11" s="322"/>
    </row>
    <row r="12" spans="1:19" s="89" customFormat="1" ht="34.5" customHeight="1">
      <c r="A12" s="371"/>
      <c r="B12" s="102" t="s">
        <v>121</v>
      </c>
      <c r="C12" s="366"/>
      <c r="D12" s="347"/>
      <c r="E12" s="347"/>
      <c r="F12" s="375"/>
      <c r="G12" s="372"/>
      <c r="H12" s="317"/>
      <c r="I12" s="318"/>
      <c r="J12" s="322"/>
      <c r="K12" s="322"/>
      <c r="L12" s="322"/>
      <c r="M12" s="322"/>
      <c r="N12" s="322"/>
      <c r="O12" s="322"/>
      <c r="P12" s="322"/>
      <c r="Q12" s="322"/>
      <c r="R12" s="322"/>
      <c r="S12" s="322"/>
    </row>
    <row r="13" spans="1:19" s="89" customFormat="1" ht="34.5" customHeight="1">
      <c r="A13" s="371" t="s">
        <v>172</v>
      </c>
      <c r="B13" s="101" t="s">
        <v>122</v>
      </c>
      <c r="C13" s="366" t="s">
        <v>55</v>
      </c>
      <c r="D13" s="390">
        <v>0.11600000000000001</v>
      </c>
      <c r="E13" s="387">
        <f>(16/121)</f>
        <v>0.13223140495867769</v>
      </c>
      <c r="F13" s="388">
        <v>0.2</v>
      </c>
      <c r="G13" s="372">
        <v>0.10580000000000001</v>
      </c>
      <c r="H13" s="331" t="b">
        <f>F13='[3]Indicadores e Metas'!$F$15</f>
        <v>1</v>
      </c>
      <c r="I13" s="31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89" customFormat="1" ht="34.5" customHeight="1">
      <c r="A14" s="371"/>
      <c r="B14" s="102" t="s">
        <v>123</v>
      </c>
      <c r="C14" s="366"/>
      <c r="D14" s="347"/>
      <c r="E14" s="387"/>
      <c r="F14" s="388"/>
      <c r="G14" s="372"/>
      <c r="H14" s="331"/>
      <c r="I14" s="31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s="89" customFormat="1" ht="34.5" customHeight="1">
      <c r="A15" s="371" t="s">
        <v>173</v>
      </c>
      <c r="B15" s="391" t="s">
        <v>124</v>
      </c>
      <c r="C15" s="391"/>
      <c r="D15" s="392">
        <f>(19774/12)/5733</f>
        <v>0.28742950171521597</v>
      </c>
      <c r="E15" s="392">
        <f>(1254/5369)</f>
        <v>0.23356304712236917</v>
      </c>
      <c r="F15" s="394">
        <v>0.22</v>
      </c>
      <c r="G15" s="611">
        <f>(K2/12)/K1</f>
        <v>0.23572115141397279</v>
      </c>
      <c r="H15" s="394" t="b">
        <f>F15='[3]Indicadores e Metas'!$F$17</f>
        <v>1</v>
      </c>
      <c r="I15" s="606">
        <f>(K2/12)/K1</f>
        <v>0.23572115141397279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s="89" customFormat="1" ht="34.5" customHeight="1">
      <c r="A16" s="371"/>
      <c r="B16" s="393" t="s">
        <v>125</v>
      </c>
      <c r="C16" s="393"/>
      <c r="D16" s="392"/>
      <c r="E16" s="392"/>
      <c r="F16" s="394"/>
      <c r="G16" s="611"/>
      <c r="H16" s="394"/>
      <c r="I16" s="606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s="89" customFormat="1" ht="34.5" customHeight="1">
      <c r="A17" s="371" t="s">
        <v>174</v>
      </c>
      <c r="B17" s="101" t="s">
        <v>126</v>
      </c>
      <c r="C17" s="366" t="s">
        <v>55</v>
      </c>
      <c r="D17" s="367">
        <v>1</v>
      </c>
      <c r="E17" s="387">
        <f>96/121</f>
        <v>0.79338842975206614</v>
      </c>
      <c r="F17" s="388">
        <v>1</v>
      </c>
      <c r="G17" s="372">
        <v>1</v>
      </c>
      <c r="H17" s="331" t="b">
        <f>F17='[3]Indicadores e Metas'!$F$19</f>
        <v>1</v>
      </c>
      <c r="I17" s="31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s="89" customFormat="1" ht="34.5" customHeight="1">
      <c r="A18" s="371"/>
      <c r="B18" s="102" t="s">
        <v>127</v>
      </c>
      <c r="C18" s="366"/>
      <c r="D18" s="347"/>
      <c r="E18" s="387"/>
      <c r="F18" s="388"/>
      <c r="G18" s="372"/>
      <c r="H18" s="331"/>
      <c r="I18" s="31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s="89" customFormat="1" ht="34.5" hidden="1" customHeight="1">
      <c r="A19" s="371" t="s">
        <v>175</v>
      </c>
      <c r="B19" s="101" t="s">
        <v>128</v>
      </c>
      <c r="C19" s="366" t="s">
        <v>55</v>
      </c>
      <c r="D19" s="347"/>
      <c r="E19" s="347"/>
      <c r="F19" s="375"/>
      <c r="G19" s="372"/>
      <c r="H19" s="317"/>
      <c r="I19" s="31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s="89" customFormat="1" ht="34.5" hidden="1" customHeight="1">
      <c r="A20" s="371"/>
      <c r="B20" s="102" t="s">
        <v>129</v>
      </c>
      <c r="C20" s="366"/>
      <c r="D20" s="347"/>
      <c r="E20" s="347"/>
      <c r="F20" s="375"/>
      <c r="G20" s="372"/>
      <c r="H20" s="317"/>
      <c r="I20" s="31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s="89" customFormat="1" ht="34.5" hidden="1" customHeight="1">
      <c r="A21" s="371" t="s">
        <v>176</v>
      </c>
      <c r="B21" s="101" t="s">
        <v>130</v>
      </c>
      <c r="C21" s="366" t="s">
        <v>55</v>
      </c>
      <c r="D21" s="347"/>
      <c r="E21" s="347"/>
      <c r="F21" s="375"/>
      <c r="G21" s="372"/>
      <c r="H21" s="317"/>
      <c r="I21" s="31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s="89" customFormat="1" ht="34.5" hidden="1" customHeight="1">
      <c r="A22" s="371"/>
      <c r="B22" s="102" t="s">
        <v>131</v>
      </c>
      <c r="C22" s="366"/>
      <c r="D22" s="347"/>
      <c r="E22" s="347"/>
      <c r="F22" s="375"/>
      <c r="G22" s="372"/>
      <c r="H22" s="317"/>
      <c r="I22" s="31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89" customFormat="1" ht="34.5" hidden="1" customHeight="1">
      <c r="A23" s="371" t="s">
        <v>177</v>
      </c>
      <c r="B23" s="101" t="s">
        <v>132</v>
      </c>
      <c r="C23" s="366" t="s">
        <v>55</v>
      </c>
      <c r="D23" s="347"/>
      <c r="E23" s="347"/>
      <c r="F23" s="375"/>
      <c r="G23" s="372"/>
      <c r="H23" s="317"/>
      <c r="I23" s="31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s="89" customFormat="1" ht="34.5" hidden="1" customHeight="1">
      <c r="A24" s="371"/>
      <c r="B24" s="102" t="s">
        <v>133</v>
      </c>
      <c r="C24" s="366"/>
      <c r="D24" s="347"/>
      <c r="E24" s="347"/>
      <c r="F24" s="375"/>
      <c r="G24" s="372"/>
      <c r="H24" s="317"/>
      <c r="I24" s="31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s="89" customFormat="1" ht="34.5" customHeight="1">
      <c r="A25" s="371" t="s">
        <v>178</v>
      </c>
      <c r="B25" s="101" t="s">
        <v>134</v>
      </c>
      <c r="C25" s="366" t="s">
        <v>55</v>
      </c>
      <c r="D25" s="347" t="s">
        <v>385</v>
      </c>
      <c r="E25" s="347" t="s">
        <v>385</v>
      </c>
      <c r="F25" s="375">
        <v>0.3</v>
      </c>
      <c r="G25" s="372">
        <v>0.65380000000000005</v>
      </c>
      <c r="H25" s="317" t="b">
        <f>F25='[3]Indicadores e Metas'!$F$27</f>
        <v>1</v>
      </c>
      <c r="I25" s="31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s="89" customFormat="1" ht="34.5" customHeight="1">
      <c r="A26" s="371"/>
      <c r="B26" s="102" t="s">
        <v>122</v>
      </c>
      <c r="C26" s="366"/>
      <c r="D26" s="347"/>
      <c r="E26" s="347"/>
      <c r="F26" s="375"/>
      <c r="G26" s="372"/>
      <c r="H26" s="317"/>
      <c r="I26" s="31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s="89" customFormat="1" ht="34.5" customHeight="1">
      <c r="A27" s="371" t="s">
        <v>179</v>
      </c>
      <c r="B27" s="101" t="s">
        <v>135</v>
      </c>
      <c r="C27" s="366" t="s">
        <v>55</v>
      </c>
      <c r="D27" s="347" t="s">
        <v>385</v>
      </c>
      <c r="E27" s="347" t="s">
        <v>385</v>
      </c>
      <c r="F27" s="375">
        <v>0.5</v>
      </c>
      <c r="G27" s="372">
        <v>9.9099999999999994E-2</v>
      </c>
      <c r="H27" s="317" t="b">
        <f>F27='[3]Indicadores e Metas'!$F$29</f>
        <v>1</v>
      </c>
      <c r="I27" s="31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s="89" customFormat="1" ht="34.5" customHeight="1">
      <c r="A28" s="371"/>
      <c r="B28" s="102" t="s">
        <v>123</v>
      </c>
      <c r="C28" s="366"/>
      <c r="D28" s="347"/>
      <c r="E28" s="347"/>
      <c r="F28" s="375"/>
      <c r="G28" s="372"/>
      <c r="H28" s="317"/>
      <c r="I28" s="31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s="89" customFormat="1" ht="34.5" customHeight="1">
      <c r="A29" s="371" t="s">
        <v>180</v>
      </c>
      <c r="B29" s="101" t="s">
        <v>136</v>
      </c>
      <c r="C29" s="366" t="s">
        <v>55</v>
      </c>
      <c r="D29" s="347" t="s">
        <v>385</v>
      </c>
      <c r="E29" s="347" t="s">
        <v>385</v>
      </c>
      <c r="F29" s="375">
        <v>0.5</v>
      </c>
      <c r="G29" s="372">
        <v>3.61E-2</v>
      </c>
      <c r="H29" s="317" t="b">
        <f>F29='[3]Indicadores e Metas'!$F$31</f>
        <v>1</v>
      </c>
      <c r="I29" s="31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s="89" customFormat="1" ht="34.5" customHeight="1">
      <c r="A30" s="371"/>
      <c r="B30" s="102" t="s">
        <v>137</v>
      </c>
      <c r="C30" s="366"/>
      <c r="D30" s="347"/>
      <c r="E30" s="347"/>
      <c r="F30" s="375"/>
      <c r="G30" s="372"/>
      <c r="H30" s="317"/>
      <c r="I30" s="31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s="89" customFormat="1" ht="58.5" customHeight="1">
      <c r="A31" s="100" t="s">
        <v>16</v>
      </c>
      <c r="B31" s="344" t="s">
        <v>39</v>
      </c>
      <c r="C31" s="344"/>
      <c r="D31" s="183" t="s">
        <v>315</v>
      </c>
      <c r="E31" s="183" t="s">
        <v>314</v>
      </c>
      <c r="F31" s="175" t="s">
        <v>313</v>
      </c>
      <c r="G31" s="175" t="s">
        <v>312</v>
      </c>
      <c r="H31" s="241" t="s">
        <v>313</v>
      </c>
      <c r="I31" s="116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s="89" customFormat="1" ht="34.5" customHeight="1">
      <c r="A32" s="371" t="s">
        <v>181</v>
      </c>
      <c r="B32" s="101" t="s">
        <v>166</v>
      </c>
      <c r="C32" s="366" t="s">
        <v>55</v>
      </c>
      <c r="D32" s="367">
        <v>1</v>
      </c>
      <c r="E32" s="367">
        <v>0.9</v>
      </c>
      <c r="F32" s="370">
        <v>0.8</v>
      </c>
      <c r="G32" s="373">
        <v>0.85</v>
      </c>
      <c r="H32" s="333" t="b">
        <f>F32='[3]Indicadores e Metas'!$F$34</f>
        <v>1</v>
      </c>
      <c r="I32" s="31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s="89" customFormat="1" ht="34.5" customHeight="1">
      <c r="A33" s="371"/>
      <c r="B33" s="102" t="s">
        <v>167</v>
      </c>
      <c r="C33" s="366"/>
      <c r="D33" s="347"/>
      <c r="E33" s="347"/>
      <c r="F33" s="370"/>
      <c r="G33" s="373"/>
      <c r="H33" s="333"/>
      <c r="I33" s="31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s="89" customFormat="1" ht="34.5" customHeight="1">
      <c r="A34" s="371" t="s">
        <v>182</v>
      </c>
      <c r="B34" s="101" t="s">
        <v>56</v>
      </c>
      <c r="C34" s="366" t="s">
        <v>55</v>
      </c>
      <c r="D34" s="374">
        <f>443/473</f>
        <v>0.93657505285412257</v>
      </c>
      <c r="E34" s="376">
        <f>1498/1560</f>
        <v>0.96025641025641029</v>
      </c>
      <c r="F34" s="370">
        <v>0.9</v>
      </c>
      <c r="G34" s="373">
        <v>0.87</v>
      </c>
      <c r="H34" s="333" t="b">
        <f>F34='[3]Indicadores e Metas'!$F$36</f>
        <v>1</v>
      </c>
      <c r="I34" s="31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s="89" customFormat="1" ht="34.5" customHeight="1">
      <c r="A35" s="371"/>
      <c r="B35" s="102" t="s">
        <v>57</v>
      </c>
      <c r="C35" s="366"/>
      <c r="D35" s="374"/>
      <c r="E35" s="376"/>
      <c r="F35" s="370"/>
      <c r="G35" s="373"/>
      <c r="H35" s="333"/>
      <c r="I35" s="31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s="89" customFormat="1" ht="34.5" hidden="1" customHeight="1">
      <c r="A36" s="371" t="s">
        <v>183</v>
      </c>
      <c r="B36" s="101" t="s">
        <v>138</v>
      </c>
      <c r="C36" s="366" t="s">
        <v>55</v>
      </c>
      <c r="D36" s="347"/>
      <c r="E36" s="347"/>
      <c r="F36" s="332"/>
      <c r="G36" s="352"/>
      <c r="H36" s="332"/>
      <c r="I36" s="31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s="89" customFormat="1" ht="34.5" hidden="1" customHeight="1">
      <c r="A37" s="371"/>
      <c r="B37" s="102" t="s">
        <v>139</v>
      </c>
      <c r="C37" s="366"/>
      <c r="D37" s="347"/>
      <c r="E37" s="347"/>
      <c r="F37" s="332"/>
      <c r="G37" s="352"/>
      <c r="H37" s="332"/>
      <c r="I37" s="31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s="89" customFormat="1" ht="69" customHeight="1">
      <c r="A38" s="100" t="s">
        <v>17</v>
      </c>
      <c r="B38" s="344" t="s">
        <v>39</v>
      </c>
      <c r="C38" s="344"/>
      <c r="D38" s="183" t="s">
        <v>315</v>
      </c>
      <c r="E38" s="183" t="s">
        <v>314</v>
      </c>
      <c r="F38" s="175" t="s">
        <v>313</v>
      </c>
      <c r="G38" s="175" t="s">
        <v>312</v>
      </c>
      <c r="H38" s="241" t="s">
        <v>313</v>
      </c>
      <c r="I38" s="116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s="89" customFormat="1" ht="34.5" customHeight="1">
      <c r="A39" s="335" t="s">
        <v>184</v>
      </c>
      <c r="B39" s="103" t="s">
        <v>140</v>
      </c>
      <c r="C39" s="366" t="s">
        <v>55</v>
      </c>
      <c r="D39" s="367">
        <v>1</v>
      </c>
      <c r="E39" s="367">
        <v>1</v>
      </c>
      <c r="F39" s="370">
        <v>1</v>
      </c>
      <c r="G39" s="373">
        <v>1</v>
      </c>
      <c r="H39" s="602" t="b">
        <f>F39='[3]Indicadores e Metas'!$F$41</f>
        <v>1</v>
      </c>
      <c r="I39" s="603">
        <f>'Limites Estratégicos'!E17/'Limites Estratégicos'!D17</f>
        <v>1.0000001454284211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s="89" customFormat="1" ht="34.5" customHeight="1">
      <c r="A40" s="335"/>
      <c r="B40" s="104" t="s">
        <v>141</v>
      </c>
      <c r="C40" s="366"/>
      <c r="D40" s="347"/>
      <c r="E40" s="347"/>
      <c r="F40" s="370"/>
      <c r="G40" s="373"/>
      <c r="H40" s="602"/>
      <c r="I40" s="603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s="89" customFormat="1" ht="34.5" hidden="1" customHeight="1">
      <c r="A41" s="354" t="s">
        <v>185</v>
      </c>
      <c r="B41" s="214" t="s">
        <v>142</v>
      </c>
      <c r="C41" s="368" t="s">
        <v>55</v>
      </c>
      <c r="D41" s="358"/>
      <c r="E41" s="358"/>
      <c r="F41" s="319"/>
      <c r="G41" s="360"/>
      <c r="H41" s="319"/>
      <c r="I41" s="31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s="89" customFormat="1" ht="34.5" hidden="1" customHeight="1">
      <c r="A42" s="355"/>
      <c r="B42" s="215" t="s">
        <v>143</v>
      </c>
      <c r="C42" s="369"/>
      <c r="D42" s="359"/>
      <c r="E42" s="359"/>
      <c r="F42" s="320"/>
      <c r="G42" s="361"/>
      <c r="H42" s="320"/>
      <c r="I42" s="31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s="89" customFormat="1" ht="34.5" hidden="1" customHeight="1">
      <c r="A43" s="354" t="s">
        <v>186</v>
      </c>
      <c r="B43" s="356" t="s">
        <v>144</v>
      </c>
      <c r="C43" s="357"/>
      <c r="D43" s="358"/>
      <c r="E43" s="358"/>
      <c r="F43" s="319"/>
      <c r="G43" s="360"/>
      <c r="H43" s="319"/>
      <c r="I43" s="321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s="89" customFormat="1" ht="34.5" hidden="1" customHeight="1">
      <c r="A44" s="355"/>
      <c r="B44" s="362" t="s">
        <v>145</v>
      </c>
      <c r="C44" s="363"/>
      <c r="D44" s="359"/>
      <c r="E44" s="359"/>
      <c r="F44" s="320"/>
      <c r="G44" s="361"/>
      <c r="H44" s="320"/>
      <c r="I44" s="321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s="89" customFormat="1" ht="34.5" hidden="1" customHeight="1">
      <c r="A45" s="354" t="s">
        <v>187</v>
      </c>
      <c r="B45" s="214" t="s">
        <v>146</v>
      </c>
      <c r="C45" s="364" t="s">
        <v>55</v>
      </c>
      <c r="D45" s="358"/>
      <c r="E45" s="358"/>
      <c r="F45" s="319"/>
      <c r="G45" s="360"/>
      <c r="H45" s="319"/>
      <c r="I45" s="31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ht="34.5" hidden="1" customHeight="1">
      <c r="A46" s="355"/>
      <c r="B46" s="215" t="s">
        <v>147</v>
      </c>
      <c r="C46" s="365"/>
      <c r="D46" s="359"/>
      <c r="E46" s="359"/>
      <c r="F46" s="320"/>
      <c r="G46" s="361"/>
      <c r="H46" s="320"/>
      <c r="I46" s="318"/>
    </row>
    <row r="47" spans="1:19" s="89" customFormat="1" ht="69.75" hidden="1" customHeight="1">
      <c r="A47" s="100" t="s">
        <v>18</v>
      </c>
      <c r="B47" s="344" t="s">
        <v>39</v>
      </c>
      <c r="C47" s="344"/>
      <c r="D47" s="183" t="s">
        <v>315</v>
      </c>
      <c r="E47" s="183" t="s">
        <v>314</v>
      </c>
      <c r="F47" s="175" t="s">
        <v>313</v>
      </c>
      <c r="G47" s="175" t="s">
        <v>312</v>
      </c>
      <c r="H47" s="241" t="s">
        <v>313</v>
      </c>
      <c r="I47" s="116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ht="53.25" hidden="1" customHeight="1">
      <c r="A48" s="105" t="s">
        <v>188</v>
      </c>
      <c r="B48" s="353" t="s">
        <v>148</v>
      </c>
      <c r="C48" s="353"/>
      <c r="D48" s="174"/>
      <c r="E48" s="174"/>
      <c r="F48" s="174"/>
      <c r="G48" s="174"/>
      <c r="H48" s="243"/>
      <c r="I48" s="117"/>
    </row>
    <row r="49" spans="1:19" s="89" customFormat="1" ht="45" hidden="1" customHeight="1">
      <c r="A49" s="100" t="s">
        <v>19</v>
      </c>
      <c r="B49" s="344" t="s">
        <v>39</v>
      </c>
      <c r="C49" s="344"/>
      <c r="D49" s="183" t="s">
        <v>315</v>
      </c>
      <c r="E49" s="183" t="s">
        <v>314</v>
      </c>
      <c r="F49" s="175" t="s">
        <v>313</v>
      </c>
      <c r="G49" s="175" t="s">
        <v>312</v>
      </c>
      <c r="H49" s="241" t="s">
        <v>313</v>
      </c>
      <c r="I49" s="116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ht="34.5" hidden="1" customHeight="1">
      <c r="A50" s="335" t="s">
        <v>189</v>
      </c>
      <c r="B50" s="103" t="s">
        <v>149</v>
      </c>
      <c r="C50" s="336" t="s">
        <v>55</v>
      </c>
      <c r="D50" s="347"/>
      <c r="E50" s="347"/>
      <c r="F50" s="332"/>
      <c r="G50" s="352"/>
      <c r="H50" s="332"/>
      <c r="I50" s="318"/>
    </row>
    <row r="51" spans="1:19" ht="34.5" hidden="1" customHeight="1">
      <c r="A51" s="335"/>
      <c r="B51" s="104" t="s">
        <v>119</v>
      </c>
      <c r="C51" s="336"/>
      <c r="D51" s="347"/>
      <c r="E51" s="347"/>
      <c r="F51" s="332"/>
      <c r="G51" s="352"/>
      <c r="H51" s="332"/>
      <c r="I51" s="318"/>
    </row>
    <row r="52" spans="1:19" ht="34.5" hidden="1" customHeight="1">
      <c r="A52" s="335" t="s">
        <v>190</v>
      </c>
      <c r="B52" s="103" t="s">
        <v>148</v>
      </c>
      <c r="C52" s="336" t="s">
        <v>55</v>
      </c>
      <c r="D52" s="347"/>
      <c r="E52" s="347"/>
      <c r="F52" s="332"/>
      <c r="G52" s="352"/>
      <c r="H52" s="332"/>
      <c r="I52" s="318"/>
    </row>
    <row r="53" spans="1:19" ht="34.5" hidden="1" customHeight="1">
      <c r="A53" s="335"/>
      <c r="B53" s="104" t="s">
        <v>119</v>
      </c>
      <c r="C53" s="336"/>
      <c r="D53" s="347"/>
      <c r="E53" s="347"/>
      <c r="F53" s="332"/>
      <c r="G53" s="352"/>
      <c r="H53" s="332"/>
      <c r="I53" s="318"/>
    </row>
    <row r="54" spans="1:19" s="89" customFormat="1" ht="63.75" customHeight="1">
      <c r="A54" s="100" t="s">
        <v>20</v>
      </c>
      <c r="B54" s="344" t="s">
        <v>39</v>
      </c>
      <c r="C54" s="344"/>
      <c r="D54" s="183" t="s">
        <v>315</v>
      </c>
      <c r="E54" s="183" t="s">
        <v>314</v>
      </c>
      <c r="F54" s="175" t="s">
        <v>313</v>
      </c>
      <c r="G54" s="175" t="s">
        <v>312</v>
      </c>
      <c r="H54" s="241" t="s">
        <v>313</v>
      </c>
      <c r="I54" s="116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s="89" customFormat="1" ht="34.5" customHeight="1">
      <c r="A55" s="106" t="s">
        <v>191</v>
      </c>
      <c r="B55" s="336" t="s">
        <v>150</v>
      </c>
      <c r="C55" s="336"/>
      <c r="D55" s="173">
        <v>49249</v>
      </c>
      <c r="E55" s="173">
        <v>69376</v>
      </c>
      <c r="F55" s="291">
        <v>42000</v>
      </c>
      <c r="G55" s="292">
        <v>83771</v>
      </c>
      <c r="H55" s="289" t="b">
        <f>F55='[3]Indicadores e Metas'!$F$57</f>
        <v>1</v>
      </c>
      <c r="I55" s="11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s="89" customFormat="1" ht="69" hidden="1" customHeight="1">
      <c r="A56" s="100" t="s">
        <v>21</v>
      </c>
      <c r="B56" s="212" t="s">
        <v>39</v>
      </c>
      <c r="C56" s="212"/>
      <c r="D56" s="183" t="s">
        <v>315</v>
      </c>
      <c r="E56" s="183" t="s">
        <v>314</v>
      </c>
      <c r="F56" s="175" t="s">
        <v>313</v>
      </c>
      <c r="G56" s="175" t="s">
        <v>312</v>
      </c>
      <c r="H56" s="241" t="s">
        <v>313</v>
      </c>
      <c r="I56" s="116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1:19" s="89" customFormat="1" ht="51.75" hidden="1" customHeight="1">
      <c r="A57" s="219" t="s">
        <v>192</v>
      </c>
      <c r="B57" s="107" t="s">
        <v>151</v>
      </c>
      <c r="C57" s="216" t="s">
        <v>55</v>
      </c>
      <c r="D57" s="210"/>
      <c r="E57" s="210"/>
      <c r="F57" s="211"/>
      <c r="G57" s="218"/>
      <c r="H57" s="242"/>
      <c r="I57" s="220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1:19" s="89" customFormat="1" ht="34.5" hidden="1" customHeight="1">
      <c r="A58" s="219"/>
      <c r="B58" s="108" t="s">
        <v>152</v>
      </c>
      <c r="C58" s="216"/>
      <c r="D58" s="210"/>
      <c r="E58" s="210"/>
      <c r="F58" s="211"/>
      <c r="G58" s="218"/>
      <c r="H58" s="242"/>
      <c r="I58" s="220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1:19" s="89" customFormat="1" ht="34.5" hidden="1" customHeight="1">
      <c r="A59" s="217" t="s">
        <v>193</v>
      </c>
      <c r="B59" s="109" t="s">
        <v>114</v>
      </c>
      <c r="C59" s="216" t="s">
        <v>55</v>
      </c>
      <c r="D59" s="210"/>
      <c r="E59" s="210"/>
      <c r="F59" s="211"/>
      <c r="G59" s="218"/>
      <c r="H59" s="242"/>
      <c r="I59" s="220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s="89" customFormat="1" ht="34.5" hidden="1" customHeight="1">
      <c r="A60" s="217"/>
      <c r="B60" s="110" t="s">
        <v>153</v>
      </c>
      <c r="C60" s="216"/>
      <c r="D60" s="210"/>
      <c r="E60" s="210"/>
      <c r="F60" s="211"/>
      <c r="G60" s="218"/>
      <c r="H60" s="242"/>
      <c r="I60" s="220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s="89" customFormat="1" ht="34.5" hidden="1" customHeight="1">
      <c r="A61" s="213" t="s">
        <v>194</v>
      </c>
      <c r="B61" s="214" t="s">
        <v>154</v>
      </c>
      <c r="C61" s="214"/>
      <c r="D61" s="210"/>
      <c r="E61" s="210"/>
      <c r="F61" s="211"/>
      <c r="G61" s="218"/>
      <c r="H61" s="242"/>
      <c r="I61" s="221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19" s="89" customFormat="1" ht="34.5" hidden="1" customHeight="1">
      <c r="A62" s="213"/>
      <c r="B62" s="215" t="s">
        <v>155</v>
      </c>
      <c r="C62" s="215"/>
      <c r="D62" s="210"/>
      <c r="E62" s="210"/>
      <c r="F62" s="211"/>
      <c r="G62" s="218"/>
      <c r="H62" s="242"/>
      <c r="I62" s="221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s="89" customFormat="1" ht="65.25" customHeight="1">
      <c r="A63" s="100" t="s">
        <v>22</v>
      </c>
      <c r="B63" s="344" t="s">
        <v>39</v>
      </c>
      <c r="C63" s="344"/>
      <c r="D63" s="183" t="s">
        <v>315</v>
      </c>
      <c r="E63" s="183" t="s">
        <v>314</v>
      </c>
      <c r="F63" s="175" t="s">
        <v>313</v>
      </c>
      <c r="G63" s="175" t="s">
        <v>312</v>
      </c>
      <c r="H63" s="241" t="s">
        <v>313</v>
      </c>
      <c r="I63" s="116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s="89" customFormat="1" ht="34.5" customHeight="1">
      <c r="A64" s="335" t="s">
        <v>195</v>
      </c>
      <c r="B64" s="341" t="s">
        <v>168</v>
      </c>
      <c r="C64" s="341"/>
      <c r="D64" s="348">
        <f>19774/3015.27</f>
        <v>6.5579533507778738</v>
      </c>
      <c r="E64" s="348">
        <f>15058/3055</f>
        <v>4.9289689034369886</v>
      </c>
      <c r="F64" s="350">
        <v>5.75</v>
      </c>
      <c r="G64" s="604">
        <f>K2/(P1/1000)</f>
        <v>6.0232845612532619</v>
      </c>
      <c r="H64" s="605">
        <f>'[3]Indicadores e Metas'!$F$71</f>
        <v>5.7456628477905074</v>
      </c>
      <c r="I64" s="606">
        <f>K2/(P1/1000)</f>
        <v>6.0232845612532619</v>
      </c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1:19" s="89" customFormat="1" ht="34.5" customHeight="1">
      <c r="A65" s="335"/>
      <c r="B65" s="343" t="s">
        <v>157</v>
      </c>
      <c r="C65" s="343"/>
      <c r="D65" s="349"/>
      <c r="E65" s="349"/>
      <c r="F65" s="351"/>
      <c r="G65" s="607"/>
      <c r="H65" s="608"/>
      <c r="I65" s="606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19" s="89" customFormat="1" ht="34.5" hidden="1" customHeight="1">
      <c r="A66" s="335" t="s">
        <v>196</v>
      </c>
      <c r="B66" s="103" t="s">
        <v>111</v>
      </c>
      <c r="C66" s="336" t="s">
        <v>55</v>
      </c>
      <c r="D66" s="347"/>
      <c r="E66" s="347"/>
      <c r="F66" s="347"/>
      <c r="G66" s="347"/>
      <c r="H66" s="347"/>
      <c r="I66" s="31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1:19" ht="34.5" hidden="1" customHeight="1">
      <c r="A67" s="335"/>
      <c r="B67" s="104" t="s">
        <v>156</v>
      </c>
      <c r="C67" s="336"/>
      <c r="D67" s="347"/>
      <c r="E67" s="347"/>
      <c r="F67" s="347"/>
      <c r="G67" s="347"/>
      <c r="H67" s="347"/>
      <c r="I67" s="318"/>
    </row>
    <row r="68" spans="1:19" s="89" customFormat="1" ht="34.5" hidden="1" customHeight="1">
      <c r="A68" s="335" t="s">
        <v>197</v>
      </c>
      <c r="B68" s="103" t="s">
        <v>158</v>
      </c>
      <c r="C68" s="336" t="s">
        <v>55</v>
      </c>
      <c r="D68" s="347"/>
      <c r="E68" s="347"/>
      <c r="F68" s="347"/>
      <c r="G68" s="347"/>
      <c r="H68" s="347"/>
      <c r="I68" s="318"/>
    </row>
    <row r="69" spans="1:19" s="89" customFormat="1" ht="34.5" hidden="1" customHeight="1">
      <c r="A69" s="335"/>
      <c r="B69" s="104" t="s">
        <v>156</v>
      </c>
      <c r="C69" s="336"/>
      <c r="D69" s="347"/>
      <c r="E69" s="347"/>
      <c r="F69" s="347"/>
      <c r="G69" s="347"/>
      <c r="H69" s="347"/>
      <c r="I69" s="318"/>
    </row>
    <row r="70" spans="1:19" s="89" customFormat="1" ht="54.75" customHeight="1">
      <c r="A70" s="100" t="s">
        <v>23</v>
      </c>
      <c r="B70" s="344" t="s">
        <v>39</v>
      </c>
      <c r="C70" s="344"/>
      <c r="D70" s="183" t="s">
        <v>315</v>
      </c>
      <c r="E70" s="183" t="s">
        <v>314</v>
      </c>
      <c r="F70" s="175" t="s">
        <v>313</v>
      </c>
      <c r="G70" s="175" t="s">
        <v>312</v>
      </c>
      <c r="H70" s="241" t="s">
        <v>313</v>
      </c>
      <c r="I70" s="116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ht="34.5" customHeight="1">
      <c r="A71" s="335" t="s">
        <v>198</v>
      </c>
      <c r="B71" s="341" t="s">
        <v>159</v>
      </c>
      <c r="C71" s="341"/>
      <c r="D71" s="346">
        <v>630.70370856101999</v>
      </c>
      <c r="E71" s="345">
        <v>569.18306303401573</v>
      </c>
      <c r="F71" s="346">
        <v>547.26230034853768</v>
      </c>
      <c r="G71" s="346">
        <f>'Fontes '!D7/6589</f>
        <v>593.09892548186372</v>
      </c>
      <c r="H71" s="396" t="b">
        <f>F71='[3]Indicadores e Metas'!$F$78</f>
        <v>1</v>
      </c>
      <c r="I71" s="609">
        <f>'Fontes '!D7/'Indicadores e Metas'!K1</f>
        <v>593.09892548186372</v>
      </c>
    </row>
    <row r="72" spans="1:19" ht="34.5" customHeight="1">
      <c r="A72" s="335"/>
      <c r="B72" s="343" t="s">
        <v>59</v>
      </c>
      <c r="C72" s="343"/>
      <c r="D72" s="346"/>
      <c r="E72" s="345"/>
      <c r="F72" s="346"/>
      <c r="G72" s="346"/>
      <c r="H72" s="396"/>
      <c r="I72" s="609"/>
    </row>
    <row r="73" spans="1:19" ht="34.5" customHeight="1">
      <c r="A73" s="335" t="s">
        <v>199</v>
      </c>
      <c r="B73" s="341" t="s">
        <v>112</v>
      </c>
      <c r="C73" s="341"/>
      <c r="D73" s="340">
        <v>10.663823718056339</v>
      </c>
      <c r="E73" s="342">
        <f>2842742.21/302714.06</f>
        <v>9.3908496024267922</v>
      </c>
      <c r="F73" s="340">
        <v>1.5</v>
      </c>
      <c r="G73" s="338">
        <f>3328956.13/450496.49</f>
        <v>7.3895273412674092</v>
      </c>
      <c r="H73" s="395" t="b">
        <f>F73='[3]Indicadores e Metas'!$F$82</f>
        <v>1</v>
      </c>
      <c r="I73" s="610">
        <f>'[4]Demonstrativos 2021'!$H$12/'[4]Demonstrativos 2021'!$J$12</f>
        <v>7.3887072785762911</v>
      </c>
    </row>
    <row r="74" spans="1:19" ht="34.5" customHeight="1">
      <c r="A74" s="335"/>
      <c r="B74" s="343" t="s">
        <v>58</v>
      </c>
      <c r="C74" s="343"/>
      <c r="D74" s="340"/>
      <c r="E74" s="342"/>
      <c r="F74" s="340"/>
      <c r="G74" s="338"/>
      <c r="H74" s="395"/>
      <c r="I74" s="610"/>
    </row>
    <row r="75" spans="1:19" ht="34.5" customHeight="1">
      <c r="A75" s="335" t="s">
        <v>200</v>
      </c>
      <c r="B75" s="103" t="s">
        <v>113</v>
      </c>
      <c r="C75" s="336" t="s">
        <v>55</v>
      </c>
      <c r="D75" s="339">
        <v>0.25737704918032789</v>
      </c>
      <c r="E75" s="337">
        <v>0.26700000000000002</v>
      </c>
      <c r="F75" s="340">
        <v>26.5</v>
      </c>
      <c r="G75" s="338">
        <v>29.72</v>
      </c>
      <c r="H75" s="395" t="b">
        <f>F75='[3]Indicadores e Metas'!$F$84</f>
        <v>1</v>
      </c>
      <c r="I75" s="610">
        <f>100-70.28</f>
        <v>29.72</v>
      </c>
    </row>
    <row r="76" spans="1:19" s="89" customFormat="1" ht="34.5" customHeight="1">
      <c r="A76" s="335"/>
      <c r="B76" s="104" t="s">
        <v>169</v>
      </c>
      <c r="C76" s="336"/>
      <c r="D76" s="339"/>
      <c r="E76" s="337"/>
      <c r="F76" s="340"/>
      <c r="G76" s="338"/>
      <c r="H76" s="395"/>
      <c r="I76" s="610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19" s="89" customFormat="1" ht="34.5" customHeight="1">
      <c r="A77" s="335" t="s">
        <v>201</v>
      </c>
      <c r="B77" s="103" t="s">
        <v>60</v>
      </c>
      <c r="C77" s="336" t="s">
        <v>55</v>
      </c>
      <c r="D77" s="339">
        <v>0.58352941176470585</v>
      </c>
      <c r="E77" s="337">
        <v>0.56299999999999994</v>
      </c>
      <c r="F77" s="340">
        <v>56.3</v>
      </c>
      <c r="G77" s="338">
        <v>58.26</v>
      </c>
      <c r="H77" s="395" t="b">
        <f>F77='[3]Indicadores e Metas'!F86</f>
        <v>1</v>
      </c>
      <c r="I77" s="610">
        <f>100-41.74</f>
        <v>58.26</v>
      </c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19" s="89" customFormat="1" ht="34.5" customHeight="1">
      <c r="A78" s="335"/>
      <c r="B78" s="104" t="s">
        <v>160</v>
      </c>
      <c r="C78" s="336"/>
      <c r="D78" s="339"/>
      <c r="E78" s="337"/>
      <c r="F78" s="340"/>
      <c r="G78" s="338"/>
      <c r="H78" s="395"/>
      <c r="I78" s="610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57.75" customHeight="1"/>
    <row r="80" spans="1:1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</sheetData>
  <protectedRanges>
    <protectedRange algorithmName="SHA-512" hashValue="oBu0U8UHWW1M9CSBiI+2smTKBuiu7zBMJPASzxaVW3/YfTocFsZXqoNbgPAUiXKweXnE/VLNBYi0YQjO9aRFIA==" saltValue="Uwn4xh4BFhDBBJp6oLNp+A==" spinCount="100000" sqref="H1:I1 H3:I9 H79:I1048576 I10:I78" name="Indicadores"/>
  </protectedRanges>
  <mergeCells count="238">
    <mergeCell ref="H52:H53"/>
    <mergeCell ref="I52:I53"/>
    <mergeCell ref="H75:H76"/>
    <mergeCell ref="I75:I76"/>
    <mergeCell ref="H77:H78"/>
    <mergeCell ref="I77:I78"/>
    <mergeCell ref="H64:H65"/>
    <mergeCell ref="I64:I65"/>
    <mergeCell ref="H66:H67"/>
    <mergeCell ref="I66:I67"/>
    <mergeCell ref="H68:H69"/>
    <mergeCell ref="I68:I69"/>
    <mergeCell ref="H71:H72"/>
    <mergeCell ref="I71:I72"/>
    <mergeCell ref="H73:H74"/>
    <mergeCell ref="I73:I74"/>
    <mergeCell ref="A15:A16"/>
    <mergeCell ref="B15:C15"/>
    <mergeCell ref="E15:E16"/>
    <mergeCell ref="G15:G16"/>
    <mergeCell ref="B16:C16"/>
    <mergeCell ref="A17:A18"/>
    <mergeCell ref="C17:C18"/>
    <mergeCell ref="E17:E18"/>
    <mergeCell ref="G17:G18"/>
    <mergeCell ref="D15:D16"/>
    <mergeCell ref="D17:D18"/>
    <mergeCell ref="F17:F18"/>
    <mergeCell ref="F15:F16"/>
    <mergeCell ref="A4:G4"/>
    <mergeCell ref="B5:C5"/>
    <mergeCell ref="A6:A7"/>
    <mergeCell ref="C6:C7"/>
    <mergeCell ref="E6:E7"/>
    <mergeCell ref="G6:G7"/>
    <mergeCell ref="A13:A14"/>
    <mergeCell ref="C13:C14"/>
    <mergeCell ref="E13:E14"/>
    <mergeCell ref="G13:G14"/>
    <mergeCell ref="F11:F12"/>
    <mergeCell ref="F13:F14"/>
    <mergeCell ref="A9:G9"/>
    <mergeCell ref="B10:C10"/>
    <mergeCell ref="A11:A12"/>
    <mergeCell ref="C11:C12"/>
    <mergeCell ref="E11:E12"/>
    <mergeCell ref="G11:G12"/>
    <mergeCell ref="D11:D12"/>
    <mergeCell ref="D13:D14"/>
    <mergeCell ref="A23:A24"/>
    <mergeCell ref="C23:C24"/>
    <mergeCell ref="E23:E24"/>
    <mergeCell ref="G23:G24"/>
    <mergeCell ref="A25:A26"/>
    <mergeCell ref="C25:C26"/>
    <mergeCell ref="E25:E26"/>
    <mergeCell ref="G25:G26"/>
    <mergeCell ref="C19:C20"/>
    <mergeCell ref="E19:E20"/>
    <mergeCell ref="G19:G20"/>
    <mergeCell ref="A21:A22"/>
    <mergeCell ref="C21:C22"/>
    <mergeCell ref="E21:E22"/>
    <mergeCell ref="G21:G22"/>
    <mergeCell ref="A19:A20"/>
    <mergeCell ref="D19:D20"/>
    <mergeCell ref="D21:D22"/>
    <mergeCell ref="D23:D24"/>
    <mergeCell ref="F19:F20"/>
    <mergeCell ref="F21:F22"/>
    <mergeCell ref="F23:F24"/>
    <mergeCell ref="A27:A28"/>
    <mergeCell ref="C27:C28"/>
    <mergeCell ref="E27:E28"/>
    <mergeCell ref="G27:G28"/>
    <mergeCell ref="D25:D26"/>
    <mergeCell ref="D27:D28"/>
    <mergeCell ref="A34:A35"/>
    <mergeCell ref="C34:C35"/>
    <mergeCell ref="E34:E35"/>
    <mergeCell ref="G34:G35"/>
    <mergeCell ref="F25:F26"/>
    <mergeCell ref="F27:F28"/>
    <mergeCell ref="A36:A37"/>
    <mergeCell ref="C36:C37"/>
    <mergeCell ref="E36:E37"/>
    <mergeCell ref="G36:G37"/>
    <mergeCell ref="A29:A30"/>
    <mergeCell ref="C29:C30"/>
    <mergeCell ref="E29:E30"/>
    <mergeCell ref="G29:G30"/>
    <mergeCell ref="B31:C31"/>
    <mergeCell ref="A32:A33"/>
    <mergeCell ref="C32:C33"/>
    <mergeCell ref="E32:E33"/>
    <mergeCell ref="G32:G33"/>
    <mergeCell ref="F36:F37"/>
    <mergeCell ref="D29:D30"/>
    <mergeCell ref="D32:D33"/>
    <mergeCell ref="D34:D35"/>
    <mergeCell ref="D36:D37"/>
    <mergeCell ref="F32:F33"/>
    <mergeCell ref="F34:F35"/>
    <mergeCell ref="F29:F30"/>
    <mergeCell ref="B38:C38"/>
    <mergeCell ref="A39:A40"/>
    <mergeCell ref="C39:C40"/>
    <mergeCell ref="E39:E40"/>
    <mergeCell ref="G39:G40"/>
    <mergeCell ref="A41:A42"/>
    <mergeCell ref="C41:C42"/>
    <mergeCell ref="E41:E42"/>
    <mergeCell ref="G41:G42"/>
    <mergeCell ref="F41:F42"/>
    <mergeCell ref="F39:F40"/>
    <mergeCell ref="D39:D40"/>
    <mergeCell ref="D41:D42"/>
    <mergeCell ref="A43:A44"/>
    <mergeCell ref="B43:C43"/>
    <mergeCell ref="E43:E44"/>
    <mergeCell ref="G43:G44"/>
    <mergeCell ref="B44:C44"/>
    <mergeCell ref="A45:A46"/>
    <mergeCell ref="C45:C46"/>
    <mergeCell ref="E45:E46"/>
    <mergeCell ref="G45:G46"/>
    <mergeCell ref="F45:F46"/>
    <mergeCell ref="F43:F44"/>
    <mergeCell ref="D43:D44"/>
    <mergeCell ref="D45:D46"/>
    <mergeCell ref="A52:A53"/>
    <mergeCell ref="C52:C53"/>
    <mergeCell ref="E52:E53"/>
    <mergeCell ref="G52:G53"/>
    <mergeCell ref="B54:C54"/>
    <mergeCell ref="B47:C47"/>
    <mergeCell ref="B48:C48"/>
    <mergeCell ref="B49:C49"/>
    <mergeCell ref="A50:A51"/>
    <mergeCell ref="C50:C51"/>
    <mergeCell ref="E50:E51"/>
    <mergeCell ref="F50:F51"/>
    <mergeCell ref="F52:F53"/>
    <mergeCell ref="D50:D51"/>
    <mergeCell ref="D52:D53"/>
    <mergeCell ref="G50:G51"/>
    <mergeCell ref="B63:C63"/>
    <mergeCell ref="A64:A65"/>
    <mergeCell ref="B64:C64"/>
    <mergeCell ref="E64:E65"/>
    <mergeCell ref="G64:G65"/>
    <mergeCell ref="B65:C65"/>
    <mergeCell ref="D64:D65"/>
    <mergeCell ref="F64:F65"/>
    <mergeCell ref="B55:C55"/>
    <mergeCell ref="B71:C71"/>
    <mergeCell ref="E71:E72"/>
    <mergeCell ref="G71:G72"/>
    <mergeCell ref="B72:C72"/>
    <mergeCell ref="A66:A67"/>
    <mergeCell ref="C66:C67"/>
    <mergeCell ref="E66:E67"/>
    <mergeCell ref="G66:G67"/>
    <mergeCell ref="A68:A69"/>
    <mergeCell ref="C68:C69"/>
    <mergeCell ref="E68:E69"/>
    <mergeCell ref="G68:G69"/>
    <mergeCell ref="D66:D67"/>
    <mergeCell ref="D68:D69"/>
    <mergeCell ref="D71:D72"/>
    <mergeCell ref="F66:F67"/>
    <mergeCell ref="F68:F69"/>
    <mergeCell ref="F71:F72"/>
    <mergeCell ref="A1:G1"/>
    <mergeCell ref="A2:G2"/>
    <mergeCell ref="F6:F7"/>
    <mergeCell ref="A75:A76"/>
    <mergeCell ref="C75:C76"/>
    <mergeCell ref="E75:E76"/>
    <mergeCell ref="G75:G76"/>
    <mergeCell ref="A77:A78"/>
    <mergeCell ref="C77:C78"/>
    <mergeCell ref="E77:E78"/>
    <mergeCell ref="G77:G78"/>
    <mergeCell ref="D75:D76"/>
    <mergeCell ref="D77:D78"/>
    <mergeCell ref="F77:F78"/>
    <mergeCell ref="F75:F76"/>
    <mergeCell ref="A73:A74"/>
    <mergeCell ref="B73:C73"/>
    <mergeCell ref="E73:E74"/>
    <mergeCell ref="G73:G74"/>
    <mergeCell ref="B74:C74"/>
    <mergeCell ref="D73:D74"/>
    <mergeCell ref="F73:F74"/>
    <mergeCell ref="B70:C70"/>
    <mergeCell ref="A71:A72"/>
    <mergeCell ref="H50:H51"/>
    <mergeCell ref="I50:I51"/>
    <mergeCell ref="I36:I37"/>
    <mergeCell ref="H39:H40"/>
    <mergeCell ref="I39:I40"/>
    <mergeCell ref="H41:H42"/>
    <mergeCell ref="I41:I42"/>
    <mergeCell ref="H43:H44"/>
    <mergeCell ref="I21:I22"/>
    <mergeCell ref="H23:H24"/>
    <mergeCell ref="I23:I24"/>
    <mergeCell ref="H21:H22"/>
    <mergeCell ref="H32:H33"/>
    <mergeCell ref="I32:I33"/>
    <mergeCell ref="H34:H35"/>
    <mergeCell ref="I34:I35"/>
    <mergeCell ref="H36:H37"/>
    <mergeCell ref="M1:O1"/>
    <mergeCell ref="H25:H26"/>
    <mergeCell ref="I25:I26"/>
    <mergeCell ref="H27:H28"/>
    <mergeCell ref="I27:I28"/>
    <mergeCell ref="H29:H30"/>
    <mergeCell ref="I29:I30"/>
    <mergeCell ref="H45:H46"/>
    <mergeCell ref="I45:I46"/>
    <mergeCell ref="I43:I44"/>
    <mergeCell ref="J10:S12"/>
    <mergeCell ref="H19:H20"/>
    <mergeCell ref="I19:I20"/>
    <mergeCell ref="I5:R7"/>
    <mergeCell ref="J8:S9"/>
    <mergeCell ref="H6:H7"/>
    <mergeCell ref="H11:H12"/>
    <mergeCell ref="I11:I12"/>
    <mergeCell ref="H13:H14"/>
    <mergeCell ref="I13:I14"/>
    <mergeCell ref="H15:H16"/>
    <mergeCell ref="I15:I16"/>
    <mergeCell ref="H17:H18"/>
    <mergeCell ref="I17:I18"/>
  </mergeCells>
  <phoneticPr fontId="19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55" max="4" man="1"/>
    <brk id="69" max="4" man="1"/>
  </rowBreaks>
  <ignoredErrors>
    <ignoredError sqref="G15 G6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2A5664"/>
    <pageSetUpPr fitToPage="1"/>
  </sheetPr>
  <dimension ref="A1:AJ85"/>
  <sheetViews>
    <sheetView showGridLines="0" tabSelected="1" zoomScale="80" zoomScaleNormal="80" zoomScaleSheetLayoutView="80" workbookViewId="0">
      <selection activeCell="H9" sqref="H9"/>
    </sheetView>
  </sheetViews>
  <sheetFormatPr defaultColWidth="9.140625" defaultRowHeight="26.25"/>
  <cols>
    <col min="1" max="1" width="26.42578125" style="114" customWidth="1"/>
    <col min="2" max="2" width="8.140625" style="114" customWidth="1"/>
    <col min="3" max="3" width="27.85546875" style="114" customWidth="1"/>
    <col min="4" max="4" width="42.7109375" style="114" customWidth="1"/>
    <col min="5" max="5" width="34.5703125" style="114" customWidth="1"/>
    <col min="6" max="8" width="20" style="114" customWidth="1"/>
    <col min="9" max="9" width="15" style="114" customWidth="1"/>
    <col min="10" max="10" width="25.28515625" style="114" customWidth="1"/>
    <col min="11" max="11" width="20.28515625" style="114" hidden="1" customWidth="1"/>
    <col min="12" max="12" width="16.42578125" style="114" hidden="1" customWidth="1"/>
    <col min="13" max="13" width="17.5703125" style="114" hidden="1" customWidth="1"/>
    <col min="14" max="14" width="18.42578125" style="114" hidden="1" customWidth="1"/>
    <col min="15" max="15" width="17.85546875" style="114" hidden="1" customWidth="1"/>
    <col min="16" max="18" width="20" style="114" hidden="1" customWidth="1"/>
    <col min="19" max="19" width="26.28515625" style="114" hidden="1" customWidth="1"/>
    <col min="20" max="26" width="0" style="114" hidden="1" customWidth="1"/>
    <col min="27" max="27" width="31" style="114" hidden="1" customWidth="1"/>
    <col min="28" max="33" width="9.140625" style="114"/>
    <col min="34" max="16384" width="9.140625" style="128"/>
  </cols>
  <sheetData>
    <row r="1" spans="1:36" s="169" customFormat="1">
      <c r="A1" s="406" t="str">
        <f>'Indicadores e Metas'!A1</f>
        <v>CAU/UF:  DF</v>
      </c>
      <c r="B1" s="407"/>
      <c r="C1" s="407"/>
      <c r="D1" s="407"/>
      <c r="E1" s="407"/>
      <c r="F1" s="407"/>
      <c r="G1" s="407"/>
      <c r="H1" s="407"/>
      <c r="I1" s="407"/>
      <c r="J1" s="407"/>
      <c r="K1" s="236"/>
      <c r="L1" s="236"/>
      <c r="M1" s="236"/>
      <c r="N1" s="236"/>
      <c r="O1" s="236"/>
      <c r="P1" s="236"/>
      <c r="Q1" s="276"/>
      <c r="R1" s="276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</row>
    <row r="2" spans="1:36" s="169" customFormat="1">
      <c r="A2" s="406" t="s">
        <v>324</v>
      </c>
      <c r="B2" s="407"/>
      <c r="C2" s="407"/>
      <c r="D2" s="407"/>
      <c r="E2" s="407"/>
      <c r="F2" s="407"/>
      <c r="G2" s="407"/>
      <c r="H2" s="407"/>
      <c r="I2" s="407"/>
      <c r="J2" s="407"/>
      <c r="K2" s="236"/>
      <c r="L2" s="236"/>
      <c r="M2" s="236"/>
      <c r="N2" s="236"/>
      <c r="O2" s="236"/>
      <c r="P2" s="236"/>
      <c r="Q2" s="276"/>
      <c r="R2" s="276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6" s="150" customFormat="1">
      <c r="A3" s="170"/>
      <c r="B3" s="170"/>
      <c r="C3" s="170"/>
      <c r="D3" s="170"/>
      <c r="E3" s="170"/>
      <c r="F3" s="170"/>
      <c r="G3" s="170"/>
      <c r="H3" s="170"/>
      <c r="I3" s="170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6" s="169" customFormat="1">
      <c r="A4" s="403" t="s">
        <v>48</v>
      </c>
      <c r="B4" s="404"/>
      <c r="C4" s="404"/>
      <c r="D4" s="404"/>
      <c r="E4" s="404"/>
      <c r="F4" s="404"/>
      <c r="G4" s="404"/>
      <c r="H4" s="404"/>
      <c r="I4" s="404"/>
      <c r="J4" s="405"/>
      <c r="K4" s="244"/>
      <c r="L4" s="244"/>
      <c r="M4" s="244"/>
      <c r="N4" s="244"/>
      <c r="O4" s="244"/>
      <c r="P4" s="244"/>
      <c r="Q4" s="244"/>
      <c r="R4" s="244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6" s="169" customFormat="1" ht="26.25" customHeight="1" thickBot="1">
      <c r="A5" s="418" t="s">
        <v>1</v>
      </c>
      <c r="B5" s="420" t="s">
        <v>320</v>
      </c>
      <c r="C5" s="420" t="s">
        <v>2</v>
      </c>
      <c r="D5" s="420" t="s">
        <v>28</v>
      </c>
      <c r="E5" s="421" t="s">
        <v>321</v>
      </c>
      <c r="F5" s="421" t="s">
        <v>337</v>
      </c>
      <c r="G5" s="427" t="s">
        <v>338</v>
      </c>
      <c r="H5" s="427" t="s">
        <v>339</v>
      </c>
      <c r="I5" s="178" t="s">
        <v>328</v>
      </c>
      <c r="J5" s="417" t="s">
        <v>318</v>
      </c>
      <c r="K5" s="418" t="s">
        <v>1</v>
      </c>
      <c r="L5" s="420" t="s">
        <v>320</v>
      </c>
      <c r="M5" s="420" t="s">
        <v>2</v>
      </c>
      <c r="N5" s="420" t="s">
        <v>28</v>
      </c>
      <c r="O5" s="421" t="s">
        <v>321</v>
      </c>
      <c r="P5" s="421" t="s">
        <v>337</v>
      </c>
      <c r="Q5" s="244"/>
      <c r="R5" s="244"/>
      <c r="S5" s="168"/>
      <c r="T5" s="202" t="s">
        <v>336</v>
      </c>
      <c r="U5" s="203"/>
      <c r="V5" s="203"/>
      <c r="W5" s="203"/>
      <c r="X5" s="203"/>
      <c r="Y5" s="203"/>
      <c r="Z5" s="203"/>
      <c r="AA5" s="204"/>
      <c r="AB5" s="168"/>
      <c r="AC5" s="397" t="s">
        <v>621</v>
      </c>
      <c r="AD5" s="398"/>
      <c r="AE5" s="398"/>
      <c r="AF5" s="398"/>
      <c r="AG5" s="398"/>
      <c r="AH5" s="398"/>
      <c r="AI5" s="398"/>
      <c r="AJ5" s="399"/>
    </row>
    <row r="6" spans="1:36" s="169" customFormat="1" ht="48.75" customHeight="1">
      <c r="A6" s="419"/>
      <c r="B6" s="417"/>
      <c r="C6" s="417"/>
      <c r="D6" s="417"/>
      <c r="E6" s="420"/>
      <c r="F6" s="420"/>
      <c r="G6" s="428"/>
      <c r="H6" s="428"/>
      <c r="I6" s="171" t="s">
        <v>340</v>
      </c>
      <c r="J6" s="417"/>
      <c r="K6" s="419"/>
      <c r="L6" s="417"/>
      <c r="M6" s="417"/>
      <c r="N6" s="417"/>
      <c r="O6" s="420"/>
      <c r="P6" s="420"/>
      <c r="Q6" s="281" t="s">
        <v>619</v>
      </c>
      <c r="R6" s="281" t="s">
        <v>620</v>
      </c>
      <c r="S6" s="168"/>
      <c r="T6" s="408" t="s">
        <v>342</v>
      </c>
      <c r="U6" s="324"/>
      <c r="V6" s="324"/>
      <c r="W6" s="324"/>
      <c r="X6" s="324"/>
      <c r="Y6" s="324"/>
      <c r="Z6" s="324"/>
      <c r="AA6" s="409"/>
      <c r="AB6" s="168"/>
      <c r="AC6" s="400"/>
      <c r="AD6" s="401"/>
      <c r="AE6" s="401"/>
      <c r="AF6" s="401"/>
      <c r="AG6" s="401"/>
      <c r="AH6" s="401"/>
      <c r="AI6" s="401"/>
      <c r="AJ6" s="402"/>
    </row>
    <row r="7" spans="1:36" s="169" customFormat="1" ht="63">
      <c r="A7" s="226" t="s">
        <v>350</v>
      </c>
      <c r="B7" s="227" t="s">
        <v>204</v>
      </c>
      <c r="C7" s="228" t="s">
        <v>357</v>
      </c>
      <c r="D7" s="230" t="s">
        <v>24</v>
      </c>
      <c r="E7" s="231" t="s">
        <v>371</v>
      </c>
      <c r="F7" s="232">
        <v>1485209.7447659622</v>
      </c>
      <c r="G7" s="209">
        <f>1457932.16</f>
        <v>1457932.16</v>
      </c>
      <c r="H7" s="232">
        <v>1393012.78</v>
      </c>
      <c r="I7" s="122">
        <f>IFERROR(H7/G7*100,)</f>
        <v>95.547160438521374</v>
      </c>
      <c r="J7" s="190" t="s">
        <v>578</v>
      </c>
      <c r="K7" s="228" t="b">
        <f>A7=[3]FORM.2!$A$9</f>
        <v>1</v>
      </c>
      <c r="L7" s="228" t="b">
        <f>B7=[3]FORM.2!$B$9</f>
        <v>1</v>
      </c>
      <c r="M7" s="228" t="b">
        <f>C7=[5]FORM.2!E9</f>
        <v>1</v>
      </c>
      <c r="N7" s="228" t="b">
        <f>D7=[5]FORM.2!G9</f>
        <v>1</v>
      </c>
      <c r="O7" s="228" t="b">
        <f>E7=[3]FORM.2!$I$9</f>
        <v>1</v>
      </c>
      <c r="P7" s="228" t="b">
        <f>F7=[5]FORM.2!M9</f>
        <v>1</v>
      </c>
      <c r="Q7" s="228" t="b">
        <f>G7=CC!B34</f>
        <v>1</v>
      </c>
      <c r="R7" s="228" t="b">
        <f>H7=CC!C34</f>
        <v>1</v>
      </c>
      <c r="S7" s="168"/>
      <c r="T7" s="408"/>
      <c r="U7" s="324"/>
      <c r="V7" s="324"/>
      <c r="W7" s="324"/>
      <c r="X7" s="324"/>
      <c r="Y7" s="324"/>
      <c r="Z7" s="324"/>
      <c r="AA7" s="409"/>
      <c r="AB7" s="168"/>
      <c r="AC7" s="413" t="s">
        <v>799</v>
      </c>
      <c r="AD7" s="414"/>
      <c r="AE7" s="414"/>
      <c r="AF7" s="414"/>
      <c r="AG7" s="414"/>
      <c r="AH7" s="414"/>
      <c r="AI7" s="414"/>
      <c r="AJ7" s="415"/>
    </row>
    <row r="8" spans="1:36" s="169" customFormat="1" ht="47.25">
      <c r="A8" s="226" t="s">
        <v>351</v>
      </c>
      <c r="B8" s="227" t="s">
        <v>204</v>
      </c>
      <c r="C8" s="229" t="s">
        <v>358</v>
      </c>
      <c r="D8" s="230" t="s">
        <v>15</v>
      </c>
      <c r="E8" s="231" t="s">
        <v>372</v>
      </c>
      <c r="F8" s="232">
        <v>556540.87727025035</v>
      </c>
      <c r="G8" s="209">
        <f>576790.66</f>
        <v>576790.66</v>
      </c>
      <c r="H8" s="232">
        <v>571603.87</v>
      </c>
      <c r="I8" s="122">
        <f t="shared" ref="I8:I71" si="0">IFERROR(H8/G8*100,)</f>
        <v>99.100750001742384</v>
      </c>
      <c r="J8" s="190" t="s">
        <v>579</v>
      </c>
      <c r="K8" s="229" t="b">
        <f>A8=[3]FORM.2!$A$10</f>
        <v>1</v>
      </c>
      <c r="L8" s="229" t="b">
        <f>B8=[3]FORM.2!$B$10</f>
        <v>1</v>
      </c>
      <c r="M8" s="228" t="b">
        <f>C8=[5]FORM.2!E10</f>
        <v>1</v>
      </c>
      <c r="N8" s="228" t="b">
        <f>D8=[5]FORM.2!G10</f>
        <v>1</v>
      </c>
      <c r="O8" s="229" t="b">
        <f>E8=[3]FORM.2!$I$10</f>
        <v>1</v>
      </c>
      <c r="P8" s="228" t="b">
        <f>F8=[5]FORM.2!M10</f>
        <v>1</v>
      </c>
      <c r="Q8" s="228" t="b">
        <f>G8=CC!B30</f>
        <v>1</v>
      </c>
      <c r="R8" s="228" t="b">
        <f>H8=CC!C30</f>
        <v>1</v>
      </c>
      <c r="S8" s="168"/>
      <c r="T8" s="410"/>
      <c r="U8" s="411"/>
      <c r="V8" s="411"/>
      <c r="W8" s="411"/>
      <c r="X8" s="411"/>
      <c r="Y8" s="411"/>
      <c r="Z8" s="411"/>
      <c r="AA8" s="412"/>
      <c r="AB8" s="168"/>
      <c r="AC8" s="168"/>
      <c r="AD8" s="168"/>
      <c r="AE8" s="168"/>
      <c r="AF8" s="168"/>
      <c r="AG8" s="168"/>
    </row>
    <row r="9" spans="1:36" s="169" customFormat="1" ht="63">
      <c r="A9" s="225" t="s">
        <v>352</v>
      </c>
      <c r="B9" s="227" t="s">
        <v>204</v>
      </c>
      <c r="C9" s="228" t="s">
        <v>359</v>
      </c>
      <c r="D9" s="230" t="s">
        <v>83</v>
      </c>
      <c r="E9" s="231" t="s">
        <v>373</v>
      </c>
      <c r="F9" s="232">
        <v>539930.18432816223</v>
      </c>
      <c r="G9" s="209">
        <v>617607.12</v>
      </c>
      <c r="H9" s="209">
        <v>610606.06000000006</v>
      </c>
      <c r="I9" s="122">
        <f t="shared" si="0"/>
        <v>98.866421747210438</v>
      </c>
      <c r="J9" s="190" t="s">
        <v>579</v>
      </c>
      <c r="K9" s="228" t="b">
        <f>A9=[3]FORM.2!$A$11</f>
        <v>1</v>
      </c>
      <c r="L9" s="228" t="b">
        <f>B9=[3]FORM.2!$B$11</f>
        <v>1</v>
      </c>
      <c r="M9" s="228" t="b">
        <f>C9=[5]FORM.2!E11</f>
        <v>1</v>
      </c>
      <c r="N9" s="228" t="b">
        <f>D9=[5]FORM.2!G11</f>
        <v>1</v>
      </c>
      <c r="O9" s="228" t="b">
        <f>E9=[3]FORM.2!$I$11</f>
        <v>1</v>
      </c>
      <c r="P9" s="228" t="b">
        <f>F9=[5]FORM.2!M11</f>
        <v>1</v>
      </c>
      <c r="Q9" s="228" t="b">
        <f>G9=CC!B44</f>
        <v>1</v>
      </c>
      <c r="R9" s="228" t="b">
        <f>H9=CC!C44</f>
        <v>1</v>
      </c>
      <c r="S9" s="168"/>
      <c r="T9" s="199"/>
      <c r="U9" s="200"/>
      <c r="V9" s="200"/>
      <c r="W9" s="200"/>
      <c r="X9" s="200"/>
      <c r="Y9" s="200"/>
      <c r="Z9" s="200"/>
      <c r="AA9" s="200"/>
      <c r="AB9" s="201"/>
      <c r="AC9" s="168"/>
      <c r="AD9" s="168"/>
      <c r="AE9" s="168"/>
      <c r="AF9" s="168"/>
      <c r="AG9" s="168"/>
    </row>
    <row r="10" spans="1:36" s="169" customFormat="1" ht="75" customHeight="1">
      <c r="A10" s="225" t="s">
        <v>351</v>
      </c>
      <c r="B10" s="227" t="s">
        <v>204</v>
      </c>
      <c r="C10" s="228" t="s">
        <v>360</v>
      </c>
      <c r="D10" s="230" t="s">
        <v>77</v>
      </c>
      <c r="E10" s="231" t="s">
        <v>374</v>
      </c>
      <c r="F10" s="232">
        <v>442730.08696259581</v>
      </c>
      <c r="G10" s="209">
        <f>402684.81</f>
        <v>402684.81</v>
      </c>
      <c r="H10" s="232">
        <v>400504.38</v>
      </c>
      <c r="I10" s="122">
        <f t="shared" si="0"/>
        <v>99.458526881110814</v>
      </c>
      <c r="J10" s="190" t="s">
        <v>579</v>
      </c>
      <c r="K10" s="228" t="b">
        <f>A10=[3]FORM.2!$A$12</f>
        <v>1</v>
      </c>
      <c r="L10" s="228" t="b">
        <f>B10=[3]FORM.2!$B$12</f>
        <v>1</v>
      </c>
      <c r="M10" s="228" t="b">
        <f>C10=[5]FORM.2!E12</f>
        <v>1</v>
      </c>
      <c r="N10" s="228" t="b">
        <f>D10=[5]FORM.2!G12</f>
        <v>1</v>
      </c>
      <c r="O10" s="228" t="b">
        <f>E10=[3]FORM.2!$I$12</f>
        <v>1</v>
      </c>
      <c r="P10" s="228" t="b">
        <f>F10=[5]FORM.2!M12</f>
        <v>1</v>
      </c>
      <c r="Q10" s="228" t="b">
        <f>G10=CC!B28</f>
        <v>1</v>
      </c>
      <c r="R10" s="228" t="b">
        <f>H10=CC!C28</f>
        <v>1</v>
      </c>
      <c r="S10" s="168"/>
      <c r="T10" s="416"/>
      <c r="U10" s="416"/>
      <c r="V10" s="416"/>
      <c r="W10" s="416"/>
      <c r="X10" s="416"/>
      <c r="Y10" s="416"/>
      <c r="Z10" s="416"/>
      <c r="AA10" s="416"/>
      <c r="AB10" s="168"/>
      <c r="AC10" s="168"/>
      <c r="AD10" s="168"/>
      <c r="AE10" s="168"/>
      <c r="AF10" s="168"/>
      <c r="AG10" s="168"/>
    </row>
    <row r="11" spans="1:36" s="169" customFormat="1" ht="94.5">
      <c r="A11" s="225" t="s">
        <v>353</v>
      </c>
      <c r="B11" s="227" t="s">
        <v>204</v>
      </c>
      <c r="C11" s="228" t="s">
        <v>361</v>
      </c>
      <c r="D11" s="230" t="s">
        <v>20</v>
      </c>
      <c r="E11" s="231" t="s">
        <v>375</v>
      </c>
      <c r="F11" s="232">
        <v>185147.97393250003</v>
      </c>
      <c r="G11" s="209">
        <f>176300.11</f>
        <v>176300.11</v>
      </c>
      <c r="H11" s="232">
        <v>125218.07</v>
      </c>
      <c r="I11" s="122">
        <f t="shared" si="0"/>
        <v>71.025520063487207</v>
      </c>
      <c r="J11" s="190" t="s">
        <v>578</v>
      </c>
      <c r="K11" s="228" t="b">
        <f>A11=[3]FORM.2!$A$13</f>
        <v>1</v>
      </c>
      <c r="L11" s="228" t="b">
        <f>B11=[3]FORM.2!$B$13</f>
        <v>1</v>
      </c>
      <c r="M11" s="228" t="b">
        <f>C11=[5]FORM.2!E13</f>
        <v>1</v>
      </c>
      <c r="N11" s="228" t="b">
        <f>D11=[5]FORM.2!G13</f>
        <v>1</v>
      </c>
      <c r="O11" s="228" t="b">
        <f>E11=[3]FORM.2!$I$13</f>
        <v>1</v>
      </c>
      <c r="P11" s="228" t="b">
        <f>F11=[5]FORM.2!M13</f>
        <v>1</v>
      </c>
      <c r="Q11" s="228" t="b">
        <f>G11=CC!B22</f>
        <v>1</v>
      </c>
      <c r="R11" s="228" t="b">
        <f>H11=CC!C22</f>
        <v>1</v>
      </c>
      <c r="S11" s="168"/>
      <c r="T11" s="198"/>
      <c r="U11" s="198"/>
      <c r="V11" s="198"/>
      <c r="W11" s="198"/>
      <c r="X11" s="198"/>
      <c r="Y11" s="198"/>
      <c r="Z11" s="198"/>
      <c r="AA11" s="198"/>
      <c r="AB11" s="168"/>
      <c r="AC11" s="168"/>
      <c r="AD11" s="168"/>
      <c r="AE11" s="168"/>
      <c r="AF11" s="168"/>
      <c r="AG11" s="168"/>
    </row>
    <row r="12" spans="1:36" s="169" customFormat="1" ht="42" customHeight="1">
      <c r="A12" s="225" t="s">
        <v>350</v>
      </c>
      <c r="B12" s="227" t="s">
        <v>204</v>
      </c>
      <c r="C12" s="228" t="s">
        <v>362</v>
      </c>
      <c r="D12" s="230" t="s">
        <v>25</v>
      </c>
      <c r="E12" s="231" t="s">
        <v>376</v>
      </c>
      <c r="F12" s="232">
        <v>46200</v>
      </c>
      <c r="G12" s="209">
        <f>46200</f>
        <v>46200</v>
      </c>
      <c r="H12" s="232">
        <v>33915.629999999997</v>
      </c>
      <c r="I12" s="122">
        <f t="shared" si="0"/>
        <v>73.410454545454542</v>
      </c>
      <c r="J12" s="190" t="s">
        <v>578</v>
      </c>
      <c r="K12" s="228" t="b">
        <f>A12=[3]FORM.2!$A$14</f>
        <v>1</v>
      </c>
      <c r="L12" s="228" t="b">
        <f>B12=[3]FORM.2!$B$14</f>
        <v>1</v>
      </c>
      <c r="M12" s="228" t="b">
        <f>C12=[5]FORM.2!E14</f>
        <v>1</v>
      </c>
      <c r="N12" s="228" t="b">
        <f>D12=[5]FORM.2!G14</f>
        <v>1</v>
      </c>
      <c r="O12" s="228" t="b">
        <f>E12=[3]FORM.2!$I$14</f>
        <v>1</v>
      </c>
      <c r="P12" s="228" t="b">
        <f>F12=[5]FORM.2!M14</f>
        <v>1</v>
      </c>
      <c r="Q12" s="228" t="b">
        <f>G12=CC!B38</f>
        <v>1</v>
      </c>
      <c r="R12" s="228" t="b">
        <f>H12=CC!C38</f>
        <v>1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6" s="169" customFormat="1" ht="57.75" customHeight="1">
      <c r="A13" s="225" t="s">
        <v>354</v>
      </c>
      <c r="B13" s="227" t="s">
        <v>204</v>
      </c>
      <c r="C13" s="228" t="s">
        <v>363</v>
      </c>
      <c r="D13" s="230" t="s">
        <v>15</v>
      </c>
      <c r="E13" s="233" t="s">
        <v>377</v>
      </c>
      <c r="F13" s="232">
        <v>234082.61</v>
      </c>
      <c r="G13" s="209">
        <f>234082.61</f>
        <v>234082.61</v>
      </c>
      <c r="H13" s="232">
        <v>234082.61</v>
      </c>
      <c r="I13" s="122">
        <f t="shared" si="0"/>
        <v>100</v>
      </c>
      <c r="J13" s="190" t="s">
        <v>579</v>
      </c>
      <c r="K13" s="228" t="b">
        <f>A13=[3]FORM.2!$A$15</f>
        <v>1</v>
      </c>
      <c r="L13" s="228" t="b">
        <f>B13=[3]FORM.2!$B$15</f>
        <v>1</v>
      </c>
      <c r="M13" s="228" t="b">
        <f>C13=[5]FORM.2!E15</f>
        <v>1</v>
      </c>
      <c r="N13" s="228" t="b">
        <f>D13=[5]FORM.2!G15</f>
        <v>1</v>
      </c>
      <c r="O13" s="228" t="b">
        <f>E13=[3]FORM.2!$I$15</f>
        <v>1</v>
      </c>
      <c r="P13" s="228" t="b">
        <f>F13=[5]FORM.2!M15</f>
        <v>1</v>
      </c>
      <c r="Q13" s="228" t="b">
        <f>G13=CC!B56</f>
        <v>1</v>
      </c>
      <c r="R13" s="228" t="b">
        <f>H13=CC!C56</f>
        <v>1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6" s="169" customFormat="1" ht="51" customHeight="1">
      <c r="A14" s="225" t="s">
        <v>354</v>
      </c>
      <c r="B14" s="227" t="s">
        <v>204</v>
      </c>
      <c r="C14" s="228" t="s">
        <v>364</v>
      </c>
      <c r="D14" s="230" t="s">
        <v>77</v>
      </c>
      <c r="E14" s="233" t="s">
        <v>377</v>
      </c>
      <c r="F14" s="232">
        <v>38397.519999999997</v>
      </c>
      <c r="G14" s="209">
        <f>38397.52</f>
        <v>38397.519999999997</v>
      </c>
      <c r="H14" s="232">
        <v>38397.51</v>
      </c>
      <c r="I14" s="122">
        <f t="shared" si="0"/>
        <v>99.999973956651374</v>
      </c>
      <c r="J14" s="190" t="s">
        <v>579</v>
      </c>
      <c r="K14" s="228" t="b">
        <f>A14=[3]FORM.2!$A$16</f>
        <v>1</v>
      </c>
      <c r="L14" s="228" t="b">
        <f>B14=[3]FORM.2!$B$16</f>
        <v>1</v>
      </c>
      <c r="M14" s="228" t="b">
        <f>C14=[5]FORM.2!E16</f>
        <v>1</v>
      </c>
      <c r="N14" s="228" t="b">
        <f>D14=[5]FORM.2!G16</f>
        <v>1</v>
      </c>
      <c r="O14" s="228" t="b">
        <f>E14=[3]FORM.2!$I$16</f>
        <v>1</v>
      </c>
      <c r="P14" s="228" t="b">
        <f>F14=[5]FORM.2!M16</f>
        <v>1</v>
      </c>
      <c r="Q14" s="228" t="b">
        <f>G14=CC!B58</f>
        <v>1</v>
      </c>
      <c r="R14" s="228" t="b">
        <f>H14=CC!C58</f>
        <v>1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6" s="169" customFormat="1" ht="31.5">
      <c r="A15" s="225" t="s">
        <v>355</v>
      </c>
      <c r="B15" s="227" t="s">
        <v>204</v>
      </c>
      <c r="C15" s="228" t="s">
        <v>365</v>
      </c>
      <c r="D15" s="230" t="s">
        <v>23</v>
      </c>
      <c r="E15" s="231" t="s">
        <v>378</v>
      </c>
      <c r="F15" s="232">
        <v>75501.399999999994</v>
      </c>
      <c r="G15" s="209">
        <f>75501.4</f>
        <v>75501.399999999994</v>
      </c>
      <c r="H15" s="209">
        <v>75501.399999999994</v>
      </c>
      <c r="I15" s="122">
        <f t="shared" si="0"/>
        <v>100</v>
      </c>
      <c r="J15" s="190" t="s">
        <v>579</v>
      </c>
      <c r="K15" s="228" t="b">
        <f>A15=[3]FORM.2!$A$17</f>
        <v>1</v>
      </c>
      <c r="L15" s="228" t="b">
        <f>B15=[3]FORM.2!$B$17</f>
        <v>1</v>
      </c>
      <c r="M15" s="228" t="b">
        <f>C15=[5]FORM.2!E17</f>
        <v>1</v>
      </c>
      <c r="N15" s="228" t="b">
        <f>D15=[5]FORM.2!G17</f>
        <v>1</v>
      </c>
      <c r="O15" s="228" t="b">
        <f>E15=[3]FORM.2!$I$17</f>
        <v>1</v>
      </c>
      <c r="P15" s="228" t="b">
        <f>F15=[5]FORM.2!M17</f>
        <v>1</v>
      </c>
      <c r="Q15" s="228" t="b">
        <f>G15=CC!B50</f>
        <v>1</v>
      </c>
      <c r="R15" s="228" t="b">
        <f>H15=CC!C50</f>
        <v>1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pans="1:36" s="169" customFormat="1" ht="54.75" customHeight="1">
      <c r="A16" s="225" t="s">
        <v>350</v>
      </c>
      <c r="B16" s="227" t="s">
        <v>203</v>
      </c>
      <c r="C16" s="228" t="s">
        <v>366</v>
      </c>
      <c r="D16" s="230" t="s">
        <v>22</v>
      </c>
      <c r="E16" s="231" t="s">
        <v>379</v>
      </c>
      <c r="F16" s="232">
        <v>68762.350000000006</v>
      </c>
      <c r="G16" s="209">
        <f>68762.35</f>
        <v>68762.350000000006</v>
      </c>
      <c r="H16" s="232">
        <v>65450</v>
      </c>
      <c r="I16" s="122">
        <f t="shared" si="0"/>
        <v>95.182901689660099</v>
      </c>
      <c r="J16" s="190" t="s">
        <v>579</v>
      </c>
      <c r="K16" s="228" t="b">
        <f>A16=[3]FORM.2!$A$18</f>
        <v>1</v>
      </c>
      <c r="L16" s="228" t="b">
        <f>B16=[3]FORM.2!$B$18</f>
        <v>1</v>
      </c>
      <c r="M16" s="228" t="b">
        <f>C16=[5]FORM.2!E18</f>
        <v>1</v>
      </c>
      <c r="N16" s="228" t="b">
        <f>D16=[5]FORM.2!G18</f>
        <v>1</v>
      </c>
      <c r="O16" s="228" t="b">
        <f>E16=[3]FORM.2!$I$18</f>
        <v>1</v>
      </c>
      <c r="P16" s="228" t="b">
        <f>F16=[5]FORM.2!M18</f>
        <v>1</v>
      </c>
      <c r="Q16" s="228" t="b">
        <f>G16=CC!B40</f>
        <v>1</v>
      </c>
      <c r="R16" s="228" t="b">
        <f>H16=CC!C40</f>
        <v>1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</row>
    <row r="17" spans="1:33" s="169" customFormat="1" ht="96" customHeight="1">
      <c r="A17" s="225" t="s">
        <v>350</v>
      </c>
      <c r="B17" s="227" t="s">
        <v>203</v>
      </c>
      <c r="C17" s="228" t="s">
        <v>367</v>
      </c>
      <c r="D17" s="230" t="s">
        <v>17</v>
      </c>
      <c r="E17" s="231" t="s">
        <v>380</v>
      </c>
      <c r="F17" s="232">
        <v>34381.175000000003</v>
      </c>
      <c r="G17" s="209">
        <f>34381.18</f>
        <v>34381.18</v>
      </c>
      <c r="H17" s="232">
        <v>34381.18</v>
      </c>
      <c r="I17" s="122">
        <f t="shared" si="0"/>
        <v>100</v>
      </c>
      <c r="J17" s="190" t="s">
        <v>579</v>
      </c>
      <c r="K17" s="228" t="b">
        <f>A17=[3]FORM.2!$A$19</f>
        <v>1</v>
      </c>
      <c r="L17" s="228" t="b">
        <f>B17=[3]FORM.2!$B$19</f>
        <v>1</v>
      </c>
      <c r="M17" s="228" t="b">
        <f>C17=[5]FORM.2!E19</f>
        <v>1</v>
      </c>
      <c r="N17" s="228" t="b">
        <f>D17=[5]FORM.2!G19</f>
        <v>1</v>
      </c>
      <c r="O17" s="228" t="b">
        <f>E17=[3]FORM.2!$I$19</f>
        <v>1</v>
      </c>
      <c r="P17" s="228" t="b">
        <f>F17=[5]FORM.2!M19</f>
        <v>1</v>
      </c>
      <c r="Q17" s="228" t="b">
        <f>G17=CC!B36</f>
        <v>1</v>
      </c>
      <c r="R17" s="282" t="b">
        <f>H17=CC!C36</f>
        <v>1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s="169" customFormat="1" ht="46.5" customHeight="1">
      <c r="A18" s="225" t="s">
        <v>355</v>
      </c>
      <c r="B18" s="227" t="s">
        <v>204</v>
      </c>
      <c r="C18" s="228" t="s">
        <v>368</v>
      </c>
      <c r="D18" s="230" t="s">
        <v>23</v>
      </c>
      <c r="E18" s="231" t="s">
        <v>381</v>
      </c>
      <c r="F18" s="232">
        <v>25500</v>
      </c>
      <c r="G18" s="209">
        <f>3744</f>
        <v>3744</v>
      </c>
      <c r="H18" s="209">
        <v>0</v>
      </c>
      <c r="I18" s="122">
        <f t="shared" si="0"/>
        <v>0</v>
      </c>
      <c r="J18" s="190" t="s">
        <v>579</v>
      </c>
      <c r="K18" s="228" t="b">
        <f>A18=[3]FORM.2!$A$20</f>
        <v>1</v>
      </c>
      <c r="L18" s="228" t="b">
        <f>B18=[3]FORM.2!$B$20</f>
        <v>1</v>
      </c>
      <c r="M18" s="228" t="b">
        <f>C18=[5]FORM.2!E20</f>
        <v>1</v>
      </c>
      <c r="N18" s="228" t="b">
        <f>D18=[5]FORM.2!G20</f>
        <v>1</v>
      </c>
      <c r="O18" s="228" t="b">
        <f>E18=[3]FORM.2!$I$20</f>
        <v>1</v>
      </c>
      <c r="P18" s="228" t="b">
        <f>F18=[5]FORM.2!M20</f>
        <v>1</v>
      </c>
      <c r="Q18" s="228" t="b">
        <f>G18=CC!B52</f>
        <v>1</v>
      </c>
      <c r="R18" s="228" t="b">
        <f>H18=CC!C52</f>
        <v>1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</row>
    <row r="19" spans="1:33" s="169" customFormat="1" ht="63">
      <c r="A19" s="225" t="s">
        <v>350</v>
      </c>
      <c r="B19" s="227" t="s">
        <v>356</v>
      </c>
      <c r="C19" s="228" t="s">
        <v>369</v>
      </c>
      <c r="D19" s="230" t="s">
        <v>27</v>
      </c>
      <c r="E19" s="231" t="s">
        <v>382</v>
      </c>
      <c r="F19" s="232">
        <v>215000</v>
      </c>
      <c r="G19" s="209">
        <f>215000</f>
        <v>215000</v>
      </c>
      <c r="H19" s="209">
        <v>11880</v>
      </c>
      <c r="I19" s="122">
        <f t="shared" si="0"/>
        <v>5.5255813953488371</v>
      </c>
      <c r="J19" s="190" t="s">
        <v>578</v>
      </c>
      <c r="K19" s="228" t="b">
        <f>A19=[3]FORM.2!$A$21</f>
        <v>1</v>
      </c>
      <c r="L19" s="228" t="b">
        <f>B19=[3]FORM.2!$B$21</f>
        <v>1</v>
      </c>
      <c r="M19" s="228" t="b">
        <f>C19=[5]FORM.2!E21</f>
        <v>1</v>
      </c>
      <c r="N19" s="228" t="b">
        <f>D19=[5]FORM.2!G21</f>
        <v>1</v>
      </c>
      <c r="O19" s="228" t="b">
        <f>E19=[3]FORM.2!$I$21</f>
        <v>1</v>
      </c>
      <c r="P19" s="228" t="b">
        <f>F19=[5]FORM.2!M21</f>
        <v>1</v>
      </c>
      <c r="Q19" s="228" t="b">
        <f>G19=CC!B42</f>
        <v>1</v>
      </c>
      <c r="R19" s="228" t="b">
        <f>H19=CC!C42</f>
        <v>1</v>
      </c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</row>
    <row r="20" spans="1:33" s="169" customFormat="1" ht="82.5" customHeight="1">
      <c r="A20" s="225" t="s">
        <v>350</v>
      </c>
      <c r="B20" s="227" t="s">
        <v>205</v>
      </c>
      <c r="C20" s="228" t="s">
        <v>370</v>
      </c>
      <c r="D20" s="230" t="s">
        <v>17</v>
      </c>
      <c r="E20" s="231" t="s">
        <v>383</v>
      </c>
      <c r="F20" s="232">
        <v>50000</v>
      </c>
      <c r="G20" s="209">
        <f>50000</f>
        <v>50000</v>
      </c>
      <c r="H20" s="209">
        <v>50000</v>
      </c>
      <c r="I20" s="122">
        <f t="shared" si="0"/>
        <v>100</v>
      </c>
      <c r="J20" s="190" t="s">
        <v>579</v>
      </c>
      <c r="K20" s="228" t="b">
        <f>A20=[3]FORM.2!$A$22</f>
        <v>1</v>
      </c>
      <c r="L20" s="228" t="b">
        <f>B20=[3]FORM.2!$B$22</f>
        <v>1</v>
      </c>
      <c r="M20" s="228" t="b">
        <f>C20=[5]FORM.2!E22</f>
        <v>1</v>
      </c>
      <c r="N20" s="228" t="b">
        <f>D20=[5]FORM.2!G22</f>
        <v>1</v>
      </c>
      <c r="O20" s="228" t="b">
        <f>E20=[3]FORM.2!$I$22</f>
        <v>1</v>
      </c>
      <c r="P20" s="228" t="b">
        <f>F20=[5]FORM.2!M22</f>
        <v>1</v>
      </c>
      <c r="Q20" s="228" t="b">
        <f>G20=CC!B46</f>
        <v>1</v>
      </c>
      <c r="R20" s="228" t="b">
        <f>H20=CC!C46</f>
        <v>1</v>
      </c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</row>
    <row r="21" spans="1:33" s="169" customFormat="1" ht="31.5" hidden="1" customHeight="1">
      <c r="A21" s="11"/>
      <c r="B21" s="174"/>
      <c r="C21" s="8"/>
      <c r="D21" s="8"/>
      <c r="E21" s="8"/>
      <c r="F21" s="209">
        <v>0</v>
      </c>
      <c r="G21" s="209">
        <v>0</v>
      </c>
      <c r="H21" s="209">
        <v>0</v>
      </c>
      <c r="I21" s="122">
        <f t="shared" si="0"/>
        <v>0</v>
      </c>
      <c r="J21" s="190" t="s">
        <v>319</v>
      </c>
      <c r="K21" s="245"/>
      <c r="L21" s="245"/>
      <c r="M21" s="228" t="b">
        <f>C21=[5]FORM.2!E23</f>
        <v>1</v>
      </c>
      <c r="N21" s="245"/>
      <c r="O21" s="245"/>
      <c r="P21" s="228" t="b">
        <f>F21=[5]FORM.2!M23</f>
        <v>0</v>
      </c>
      <c r="Q21" s="232"/>
      <c r="R21" s="232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</row>
    <row r="22" spans="1:33" s="169" customFormat="1" hidden="1">
      <c r="A22" s="11"/>
      <c r="B22" s="174"/>
      <c r="C22" s="8"/>
      <c r="D22" s="8"/>
      <c r="E22" s="8"/>
      <c r="F22" s="209">
        <v>0</v>
      </c>
      <c r="G22" s="209">
        <v>0</v>
      </c>
      <c r="H22" s="209">
        <v>0</v>
      </c>
      <c r="I22" s="122">
        <f t="shared" si="0"/>
        <v>0</v>
      </c>
      <c r="J22" s="190" t="s">
        <v>319</v>
      </c>
      <c r="K22" s="245"/>
      <c r="L22" s="245"/>
      <c r="M22" s="228" t="b">
        <f>C22=[5]FORM.2!E24</f>
        <v>1</v>
      </c>
      <c r="N22" s="245"/>
      <c r="O22" s="245"/>
      <c r="P22" s="228" t="b">
        <f>F22=[5]FORM.2!M24</f>
        <v>1</v>
      </c>
      <c r="Q22" s="232"/>
      <c r="R22" s="232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</row>
    <row r="23" spans="1:33" s="169" customFormat="1" hidden="1">
      <c r="A23" s="11"/>
      <c r="B23" s="174"/>
      <c r="C23" s="8"/>
      <c r="D23" s="8"/>
      <c r="E23" s="8"/>
      <c r="F23" s="209">
        <v>0</v>
      </c>
      <c r="G23" s="209">
        <v>0</v>
      </c>
      <c r="H23" s="209">
        <v>0</v>
      </c>
      <c r="I23" s="122">
        <f t="shared" si="0"/>
        <v>0</v>
      </c>
      <c r="J23" s="190" t="s">
        <v>319</v>
      </c>
      <c r="K23" s="245"/>
      <c r="L23" s="245"/>
      <c r="M23" s="228" t="b">
        <f>C23=[5]FORM.2!E25</f>
        <v>1</v>
      </c>
      <c r="N23" s="245"/>
      <c r="O23" s="245"/>
      <c r="P23" s="228" t="b">
        <f>F23=[5]FORM.2!M25</f>
        <v>1</v>
      </c>
      <c r="Q23" s="232"/>
      <c r="R23" s="232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s="169" customFormat="1" hidden="1">
      <c r="A24" s="11"/>
      <c r="B24" s="174"/>
      <c r="C24" s="8"/>
      <c r="D24" s="8"/>
      <c r="E24" s="8"/>
      <c r="F24" s="209">
        <v>0</v>
      </c>
      <c r="G24" s="209">
        <v>0</v>
      </c>
      <c r="H24" s="209">
        <v>0</v>
      </c>
      <c r="I24" s="122">
        <f t="shared" si="0"/>
        <v>0</v>
      </c>
      <c r="J24" s="190" t="s">
        <v>319</v>
      </c>
      <c r="K24" s="245"/>
      <c r="L24" s="245"/>
      <c r="M24" s="228" t="b">
        <f>C24=[5]FORM.2!E26</f>
        <v>1</v>
      </c>
      <c r="N24" s="245"/>
      <c r="O24" s="245"/>
      <c r="P24" s="228" t="b">
        <f>F24=[5]FORM.2!M26</f>
        <v>1</v>
      </c>
      <c r="Q24" s="232"/>
      <c r="R24" s="232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</row>
    <row r="25" spans="1:33" s="169" customFormat="1" hidden="1">
      <c r="A25" s="11"/>
      <c r="B25" s="174"/>
      <c r="C25" s="8"/>
      <c r="D25" s="8"/>
      <c r="E25" s="8"/>
      <c r="F25" s="209">
        <v>0</v>
      </c>
      <c r="G25" s="209">
        <v>0</v>
      </c>
      <c r="H25" s="209">
        <v>0</v>
      </c>
      <c r="I25" s="122">
        <f t="shared" si="0"/>
        <v>0</v>
      </c>
      <c r="J25" s="190" t="s">
        <v>319</v>
      </c>
      <c r="K25" s="245"/>
      <c r="L25" s="245"/>
      <c r="M25" s="228" t="b">
        <f>C25=[5]FORM.2!E27</f>
        <v>1</v>
      </c>
      <c r="N25" s="245"/>
      <c r="O25" s="245"/>
      <c r="P25" s="228" t="b">
        <f>F25=[5]FORM.2!M27</f>
        <v>1</v>
      </c>
      <c r="Q25" s="232"/>
      <c r="R25" s="232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</row>
    <row r="26" spans="1:33" s="169" customFormat="1" hidden="1">
      <c r="A26" s="11"/>
      <c r="B26" s="174"/>
      <c r="C26" s="8"/>
      <c r="D26" s="8"/>
      <c r="E26" s="8"/>
      <c r="F26" s="209">
        <v>0</v>
      </c>
      <c r="G26" s="209">
        <v>0</v>
      </c>
      <c r="H26" s="209">
        <v>0</v>
      </c>
      <c r="I26" s="122">
        <f t="shared" si="0"/>
        <v>0</v>
      </c>
      <c r="J26" s="190" t="s">
        <v>319</v>
      </c>
      <c r="K26" s="245"/>
      <c r="L26" s="245"/>
      <c r="M26" s="228" t="b">
        <f>C26=[5]FORM.2!E28</f>
        <v>1</v>
      </c>
      <c r="N26" s="245"/>
      <c r="O26" s="245"/>
      <c r="P26" s="228" t="b">
        <f>F26=[5]FORM.2!M28</f>
        <v>1</v>
      </c>
      <c r="Q26" s="232"/>
      <c r="R26" s="232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</row>
    <row r="27" spans="1:33" s="169" customFormat="1" hidden="1">
      <c r="A27" s="11"/>
      <c r="B27" s="174"/>
      <c r="C27" s="8"/>
      <c r="D27" s="8"/>
      <c r="E27" s="8"/>
      <c r="F27" s="209">
        <v>0</v>
      </c>
      <c r="G27" s="209">
        <v>0</v>
      </c>
      <c r="H27" s="209">
        <v>0</v>
      </c>
      <c r="I27" s="122">
        <f t="shared" si="0"/>
        <v>0</v>
      </c>
      <c r="J27" s="190" t="s">
        <v>319</v>
      </c>
      <c r="K27" s="245"/>
      <c r="L27" s="245"/>
      <c r="M27" s="228" t="b">
        <f>C27=[5]FORM.2!E29</f>
        <v>1</v>
      </c>
      <c r="N27" s="245"/>
      <c r="O27" s="245"/>
      <c r="P27" s="228" t="b">
        <f>F27=[5]FORM.2!M29</f>
        <v>1</v>
      </c>
      <c r="Q27" s="232"/>
      <c r="R27" s="232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</row>
    <row r="28" spans="1:33" s="169" customFormat="1" hidden="1">
      <c r="A28" s="11"/>
      <c r="B28" s="174"/>
      <c r="C28" s="8"/>
      <c r="D28" s="8"/>
      <c r="E28" s="8"/>
      <c r="F28" s="209">
        <v>0</v>
      </c>
      <c r="G28" s="209">
        <v>0</v>
      </c>
      <c r="H28" s="209">
        <v>0</v>
      </c>
      <c r="I28" s="122">
        <f t="shared" si="0"/>
        <v>0</v>
      </c>
      <c r="J28" s="190" t="s">
        <v>319</v>
      </c>
      <c r="K28" s="245"/>
      <c r="L28" s="245"/>
      <c r="M28" s="228" t="b">
        <f>C28=[5]FORM.2!E30</f>
        <v>1</v>
      </c>
      <c r="N28" s="245"/>
      <c r="O28" s="245"/>
      <c r="P28" s="228" t="b">
        <f>F28=[5]FORM.2!M30</f>
        <v>1</v>
      </c>
      <c r="Q28" s="232"/>
      <c r="R28" s="232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</row>
    <row r="29" spans="1:33" s="169" customFormat="1" hidden="1">
      <c r="A29" s="11"/>
      <c r="B29" s="174"/>
      <c r="C29" s="8"/>
      <c r="D29" s="8"/>
      <c r="E29" s="8"/>
      <c r="F29" s="209">
        <v>0</v>
      </c>
      <c r="G29" s="209">
        <v>0</v>
      </c>
      <c r="H29" s="209">
        <v>0</v>
      </c>
      <c r="I29" s="122">
        <f t="shared" si="0"/>
        <v>0</v>
      </c>
      <c r="J29" s="190" t="s">
        <v>319</v>
      </c>
      <c r="K29" s="245"/>
      <c r="L29" s="245"/>
      <c r="M29" s="228" t="b">
        <f>C29=[5]FORM.2!E31</f>
        <v>1</v>
      </c>
      <c r="N29" s="245"/>
      <c r="O29" s="245"/>
      <c r="P29" s="228" t="b">
        <f>F29=[5]FORM.2!M31</f>
        <v>1</v>
      </c>
      <c r="Q29" s="232"/>
      <c r="R29" s="232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</row>
    <row r="30" spans="1:33" s="169" customFormat="1" hidden="1">
      <c r="A30" s="11"/>
      <c r="B30" s="174"/>
      <c r="C30" s="8"/>
      <c r="D30" s="8"/>
      <c r="E30" s="8"/>
      <c r="F30" s="209">
        <v>0</v>
      </c>
      <c r="G30" s="209">
        <v>0</v>
      </c>
      <c r="H30" s="209">
        <v>0</v>
      </c>
      <c r="I30" s="122">
        <f t="shared" si="0"/>
        <v>0</v>
      </c>
      <c r="J30" s="190" t="s">
        <v>319</v>
      </c>
      <c r="K30" s="245"/>
      <c r="L30" s="245"/>
      <c r="M30" s="228" t="b">
        <f>C30=[5]FORM.2!E32</f>
        <v>1</v>
      </c>
      <c r="N30" s="245"/>
      <c r="O30" s="245"/>
      <c r="P30" s="228" t="b">
        <f>F30=[5]FORM.2!M32</f>
        <v>1</v>
      </c>
      <c r="Q30" s="232"/>
      <c r="R30" s="232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</row>
    <row r="31" spans="1:33" s="169" customFormat="1" hidden="1">
      <c r="A31" s="11"/>
      <c r="B31" s="174"/>
      <c r="C31" s="8"/>
      <c r="D31" s="8"/>
      <c r="E31" s="8"/>
      <c r="F31" s="209">
        <v>0</v>
      </c>
      <c r="G31" s="209">
        <v>0</v>
      </c>
      <c r="H31" s="209">
        <v>0</v>
      </c>
      <c r="I31" s="122">
        <f t="shared" si="0"/>
        <v>0</v>
      </c>
      <c r="J31" s="190" t="s">
        <v>319</v>
      </c>
      <c r="K31" s="245"/>
      <c r="L31" s="245"/>
      <c r="M31" s="228" t="b">
        <f>C31=[5]FORM.2!E33</f>
        <v>1</v>
      </c>
      <c r="N31" s="245"/>
      <c r="O31" s="245"/>
      <c r="P31" s="228" t="b">
        <f>F31=[5]FORM.2!M33</f>
        <v>1</v>
      </c>
      <c r="Q31" s="232"/>
      <c r="R31" s="232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</row>
    <row r="32" spans="1:33" s="169" customFormat="1" hidden="1">
      <c r="A32" s="11"/>
      <c r="B32" s="174"/>
      <c r="C32" s="8"/>
      <c r="D32" s="8"/>
      <c r="E32" s="8"/>
      <c r="F32" s="209">
        <v>0</v>
      </c>
      <c r="G32" s="209">
        <v>0</v>
      </c>
      <c r="H32" s="209">
        <v>0</v>
      </c>
      <c r="I32" s="122">
        <f t="shared" si="0"/>
        <v>0</v>
      </c>
      <c r="J32" s="190" t="s">
        <v>319</v>
      </c>
      <c r="K32" s="245"/>
      <c r="L32" s="245"/>
      <c r="M32" s="228" t="b">
        <f>C32=[5]FORM.2!E34</f>
        <v>1</v>
      </c>
      <c r="N32" s="245"/>
      <c r="O32" s="245"/>
      <c r="P32" s="228" t="b">
        <f>F32=[5]FORM.2!M34</f>
        <v>1</v>
      </c>
      <c r="Q32" s="232"/>
      <c r="R32" s="232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</row>
    <row r="33" spans="1:33" s="169" customFormat="1" hidden="1">
      <c r="A33" s="11"/>
      <c r="B33" s="174"/>
      <c r="C33" s="8"/>
      <c r="D33" s="8"/>
      <c r="E33" s="8"/>
      <c r="F33" s="209">
        <v>0</v>
      </c>
      <c r="G33" s="209">
        <v>0</v>
      </c>
      <c r="H33" s="209">
        <v>0</v>
      </c>
      <c r="I33" s="122">
        <f t="shared" si="0"/>
        <v>0</v>
      </c>
      <c r="J33" s="190" t="s">
        <v>319</v>
      </c>
      <c r="K33" s="245"/>
      <c r="L33" s="245"/>
      <c r="M33" s="228" t="b">
        <f>C33=[5]FORM.2!E35</f>
        <v>1</v>
      </c>
      <c r="N33" s="245"/>
      <c r="O33" s="245"/>
      <c r="P33" s="228" t="b">
        <f>F33=[5]FORM.2!M35</f>
        <v>1</v>
      </c>
      <c r="Q33" s="232"/>
      <c r="R33" s="232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</row>
    <row r="34" spans="1:33" s="169" customFormat="1" hidden="1">
      <c r="A34" s="11"/>
      <c r="B34" s="174"/>
      <c r="C34" s="8"/>
      <c r="D34" s="8"/>
      <c r="E34" s="8"/>
      <c r="F34" s="209">
        <v>0</v>
      </c>
      <c r="G34" s="209">
        <v>0</v>
      </c>
      <c r="H34" s="209">
        <v>0</v>
      </c>
      <c r="I34" s="122">
        <f t="shared" si="0"/>
        <v>0</v>
      </c>
      <c r="J34" s="190" t="s">
        <v>319</v>
      </c>
      <c r="K34" s="245"/>
      <c r="L34" s="245"/>
      <c r="M34" s="228" t="b">
        <f>C34=[5]FORM.2!E36</f>
        <v>1</v>
      </c>
      <c r="N34" s="245"/>
      <c r="O34" s="245"/>
      <c r="P34" s="228" t="b">
        <f>F34=[5]FORM.2!M36</f>
        <v>1</v>
      </c>
      <c r="Q34" s="232"/>
      <c r="R34" s="232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</row>
    <row r="35" spans="1:33" s="169" customFormat="1" hidden="1">
      <c r="A35" s="11"/>
      <c r="B35" s="174"/>
      <c r="C35" s="8"/>
      <c r="D35" s="8"/>
      <c r="E35" s="8"/>
      <c r="F35" s="209">
        <v>0</v>
      </c>
      <c r="G35" s="209">
        <v>0</v>
      </c>
      <c r="H35" s="209">
        <v>0</v>
      </c>
      <c r="I35" s="122">
        <f t="shared" si="0"/>
        <v>0</v>
      </c>
      <c r="J35" s="190" t="s">
        <v>319</v>
      </c>
      <c r="K35" s="245"/>
      <c r="L35" s="245"/>
      <c r="M35" s="228" t="b">
        <f>C35=[5]FORM.2!E37</f>
        <v>1</v>
      </c>
      <c r="N35" s="245"/>
      <c r="O35" s="245"/>
      <c r="P35" s="228" t="b">
        <f>F35=[5]FORM.2!M37</f>
        <v>1</v>
      </c>
      <c r="Q35" s="232"/>
      <c r="R35" s="232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</row>
    <row r="36" spans="1:33" s="169" customFormat="1" hidden="1">
      <c r="A36" s="11"/>
      <c r="B36" s="174"/>
      <c r="C36" s="8"/>
      <c r="D36" s="8"/>
      <c r="E36" s="8"/>
      <c r="F36" s="209">
        <v>0</v>
      </c>
      <c r="G36" s="209">
        <v>0</v>
      </c>
      <c r="H36" s="209">
        <v>0</v>
      </c>
      <c r="I36" s="122">
        <f t="shared" si="0"/>
        <v>0</v>
      </c>
      <c r="J36" s="190" t="s">
        <v>319</v>
      </c>
      <c r="K36" s="245"/>
      <c r="L36" s="245"/>
      <c r="M36" s="228" t="b">
        <f>C36=[5]FORM.2!E38</f>
        <v>1</v>
      </c>
      <c r="N36" s="245"/>
      <c r="O36" s="245"/>
      <c r="P36" s="228" t="b">
        <f>F36=[5]FORM.2!M38</f>
        <v>1</v>
      </c>
      <c r="Q36" s="232"/>
      <c r="R36" s="232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</row>
    <row r="37" spans="1:33" s="169" customFormat="1" hidden="1">
      <c r="A37" s="11"/>
      <c r="B37" s="174"/>
      <c r="C37" s="8"/>
      <c r="D37" s="8"/>
      <c r="E37" s="8"/>
      <c r="F37" s="209">
        <v>0</v>
      </c>
      <c r="G37" s="209">
        <v>0</v>
      </c>
      <c r="H37" s="209">
        <v>0</v>
      </c>
      <c r="I37" s="122">
        <f t="shared" si="0"/>
        <v>0</v>
      </c>
      <c r="J37" s="190" t="s">
        <v>319</v>
      </c>
      <c r="K37" s="245"/>
      <c r="L37" s="245"/>
      <c r="M37" s="228" t="b">
        <f>C37=[5]FORM.2!E39</f>
        <v>1</v>
      </c>
      <c r="N37" s="245"/>
      <c r="O37" s="245"/>
      <c r="P37" s="228" t="b">
        <f>F37=[5]FORM.2!M39</f>
        <v>1</v>
      </c>
      <c r="Q37" s="232"/>
      <c r="R37" s="232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</row>
    <row r="38" spans="1:33" s="169" customFormat="1" hidden="1">
      <c r="A38" s="11"/>
      <c r="B38" s="174"/>
      <c r="C38" s="8"/>
      <c r="D38" s="8"/>
      <c r="E38" s="8"/>
      <c r="F38" s="209">
        <v>0</v>
      </c>
      <c r="G38" s="209">
        <v>0</v>
      </c>
      <c r="H38" s="209">
        <v>0</v>
      </c>
      <c r="I38" s="122">
        <f t="shared" si="0"/>
        <v>0</v>
      </c>
      <c r="J38" s="190" t="s">
        <v>319</v>
      </c>
      <c r="K38" s="245"/>
      <c r="L38" s="245"/>
      <c r="M38" s="228" t="b">
        <f>C38=[5]FORM.2!E40</f>
        <v>1</v>
      </c>
      <c r="N38" s="245"/>
      <c r="O38" s="245"/>
      <c r="P38" s="228" t="b">
        <f>F38=[5]FORM.2!M40</f>
        <v>1</v>
      </c>
      <c r="Q38" s="232"/>
      <c r="R38" s="232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</row>
    <row r="39" spans="1:33" s="169" customFormat="1" hidden="1">
      <c r="A39" s="11"/>
      <c r="B39" s="174"/>
      <c r="C39" s="8"/>
      <c r="D39" s="8"/>
      <c r="E39" s="8"/>
      <c r="F39" s="209">
        <v>0</v>
      </c>
      <c r="G39" s="209">
        <v>0</v>
      </c>
      <c r="H39" s="209">
        <v>0</v>
      </c>
      <c r="I39" s="122">
        <f t="shared" si="0"/>
        <v>0</v>
      </c>
      <c r="J39" s="190" t="s">
        <v>319</v>
      </c>
      <c r="K39" s="245"/>
      <c r="L39" s="245"/>
      <c r="M39" s="228" t="b">
        <f>C39=[5]FORM.2!E41</f>
        <v>1</v>
      </c>
      <c r="N39" s="245"/>
      <c r="O39" s="245"/>
      <c r="P39" s="228" t="b">
        <f>F39=[5]FORM.2!M41</f>
        <v>1</v>
      </c>
      <c r="Q39" s="232"/>
      <c r="R39" s="232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</row>
    <row r="40" spans="1:33" s="169" customFormat="1" hidden="1">
      <c r="A40" s="11"/>
      <c r="B40" s="174"/>
      <c r="C40" s="8"/>
      <c r="D40" s="8"/>
      <c r="E40" s="8"/>
      <c r="F40" s="209">
        <v>0</v>
      </c>
      <c r="G40" s="209">
        <v>0</v>
      </c>
      <c r="H40" s="209">
        <v>0</v>
      </c>
      <c r="I40" s="122">
        <f t="shared" si="0"/>
        <v>0</v>
      </c>
      <c r="J40" s="190" t="s">
        <v>319</v>
      </c>
      <c r="K40" s="245"/>
      <c r="L40" s="245"/>
      <c r="M40" s="228" t="b">
        <f>C40=[5]FORM.2!E42</f>
        <v>1</v>
      </c>
      <c r="N40" s="245"/>
      <c r="O40" s="245"/>
      <c r="P40" s="228" t="b">
        <f>F40=[5]FORM.2!M42</f>
        <v>1</v>
      </c>
      <c r="Q40" s="232"/>
      <c r="R40" s="232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</row>
    <row r="41" spans="1:33" s="169" customFormat="1" hidden="1">
      <c r="A41" s="11"/>
      <c r="B41" s="174"/>
      <c r="C41" s="8"/>
      <c r="D41" s="8"/>
      <c r="E41" s="8"/>
      <c r="F41" s="209">
        <v>0</v>
      </c>
      <c r="G41" s="209">
        <v>0</v>
      </c>
      <c r="H41" s="209">
        <v>0</v>
      </c>
      <c r="I41" s="122">
        <f t="shared" si="0"/>
        <v>0</v>
      </c>
      <c r="J41" s="190" t="s">
        <v>319</v>
      </c>
      <c r="K41" s="245"/>
      <c r="L41" s="245"/>
      <c r="M41" s="228" t="b">
        <f>C41=[5]FORM.2!E43</f>
        <v>1</v>
      </c>
      <c r="N41" s="245"/>
      <c r="O41" s="245"/>
      <c r="P41" s="228" t="b">
        <f>F41=[5]FORM.2!M43</f>
        <v>1</v>
      </c>
      <c r="Q41" s="232"/>
      <c r="R41" s="232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</row>
    <row r="42" spans="1:33" s="169" customFormat="1" hidden="1">
      <c r="A42" s="11"/>
      <c r="B42" s="174"/>
      <c r="C42" s="8"/>
      <c r="D42" s="8"/>
      <c r="E42" s="8"/>
      <c r="F42" s="209">
        <v>0</v>
      </c>
      <c r="G42" s="209">
        <v>0</v>
      </c>
      <c r="H42" s="209">
        <v>0</v>
      </c>
      <c r="I42" s="122">
        <f t="shared" si="0"/>
        <v>0</v>
      </c>
      <c r="J42" s="190" t="s">
        <v>319</v>
      </c>
      <c r="K42" s="245"/>
      <c r="L42" s="245"/>
      <c r="M42" s="228" t="b">
        <f>C42=[5]FORM.2!E44</f>
        <v>1</v>
      </c>
      <c r="N42" s="245"/>
      <c r="O42" s="245"/>
      <c r="P42" s="228" t="b">
        <f>F42=[5]FORM.2!M44</f>
        <v>1</v>
      </c>
      <c r="Q42" s="232"/>
      <c r="R42" s="232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</row>
    <row r="43" spans="1:33" s="169" customFormat="1" hidden="1">
      <c r="A43" s="11"/>
      <c r="B43" s="174"/>
      <c r="C43" s="8"/>
      <c r="D43" s="8"/>
      <c r="E43" s="8"/>
      <c r="F43" s="209">
        <v>0</v>
      </c>
      <c r="G43" s="209">
        <v>0</v>
      </c>
      <c r="H43" s="209">
        <v>0</v>
      </c>
      <c r="I43" s="122">
        <f t="shared" si="0"/>
        <v>0</v>
      </c>
      <c r="J43" s="190" t="s">
        <v>319</v>
      </c>
      <c r="K43" s="245"/>
      <c r="L43" s="245"/>
      <c r="M43" s="228" t="b">
        <f>C43=[5]FORM.2!E45</f>
        <v>1</v>
      </c>
      <c r="N43" s="245"/>
      <c r="O43" s="245"/>
      <c r="P43" s="228" t="b">
        <f>F43=[5]FORM.2!M45</f>
        <v>1</v>
      </c>
      <c r="Q43" s="232"/>
      <c r="R43" s="232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</row>
    <row r="44" spans="1:33" s="169" customFormat="1" hidden="1">
      <c r="A44" s="11"/>
      <c r="B44" s="174"/>
      <c r="C44" s="8"/>
      <c r="D44" s="8"/>
      <c r="E44" s="8"/>
      <c r="F44" s="209">
        <v>0</v>
      </c>
      <c r="G44" s="209">
        <v>0</v>
      </c>
      <c r="H44" s="209">
        <v>0</v>
      </c>
      <c r="I44" s="122">
        <f t="shared" si="0"/>
        <v>0</v>
      </c>
      <c r="J44" s="190" t="s">
        <v>319</v>
      </c>
      <c r="K44" s="245"/>
      <c r="L44" s="245"/>
      <c r="M44" s="228" t="b">
        <f>C44=[5]FORM.2!E46</f>
        <v>1</v>
      </c>
      <c r="N44" s="245"/>
      <c r="O44" s="245"/>
      <c r="P44" s="228" t="b">
        <f>F44=[5]FORM.2!M46</f>
        <v>1</v>
      </c>
      <c r="Q44" s="232"/>
      <c r="R44" s="232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</row>
    <row r="45" spans="1:33" s="169" customFormat="1" hidden="1">
      <c r="A45" s="11"/>
      <c r="B45" s="174"/>
      <c r="C45" s="8"/>
      <c r="D45" s="8"/>
      <c r="E45" s="8"/>
      <c r="F45" s="209">
        <v>0</v>
      </c>
      <c r="G45" s="209">
        <v>0</v>
      </c>
      <c r="H45" s="209">
        <v>0</v>
      </c>
      <c r="I45" s="122">
        <f t="shared" si="0"/>
        <v>0</v>
      </c>
      <c r="J45" s="190" t="s">
        <v>319</v>
      </c>
      <c r="K45" s="245"/>
      <c r="L45" s="245"/>
      <c r="M45" s="228" t="b">
        <f>C45=[5]FORM.2!E47</f>
        <v>1</v>
      </c>
      <c r="N45" s="245"/>
      <c r="O45" s="245"/>
      <c r="P45" s="228" t="b">
        <f>F45=[5]FORM.2!M47</f>
        <v>1</v>
      </c>
      <c r="Q45" s="232"/>
      <c r="R45" s="232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</row>
    <row r="46" spans="1:33" s="169" customFormat="1" hidden="1">
      <c r="A46" s="11"/>
      <c r="B46" s="174"/>
      <c r="C46" s="8"/>
      <c r="D46" s="8"/>
      <c r="E46" s="8"/>
      <c r="F46" s="209">
        <v>0</v>
      </c>
      <c r="G46" s="209">
        <v>0</v>
      </c>
      <c r="H46" s="209">
        <v>0</v>
      </c>
      <c r="I46" s="122">
        <f t="shared" si="0"/>
        <v>0</v>
      </c>
      <c r="J46" s="190" t="s">
        <v>319</v>
      </c>
      <c r="K46" s="245"/>
      <c r="L46" s="245"/>
      <c r="M46" s="228" t="b">
        <f>C46=[5]FORM.2!E48</f>
        <v>1</v>
      </c>
      <c r="N46" s="245"/>
      <c r="O46" s="245"/>
      <c r="P46" s="228" t="b">
        <f>F46=[5]FORM.2!M48</f>
        <v>1</v>
      </c>
      <c r="Q46" s="232"/>
      <c r="R46" s="232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</row>
    <row r="47" spans="1:33" s="169" customFormat="1" hidden="1">
      <c r="A47" s="11"/>
      <c r="B47" s="174"/>
      <c r="C47" s="8"/>
      <c r="D47" s="8"/>
      <c r="E47" s="8"/>
      <c r="F47" s="209">
        <v>0</v>
      </c>
      <c r="G47" s="209">
        <v>0</v>
      </c>
      <c r="H47" s="209">
        <v>0</v>
      </c>
      <c r="I47" s="122">
        <f t="shared" si="0"/>
        <v>0</v>
      </c>
      <c r="J47" s="190" t="s">
        <v>319</v>
      </c>
      <c r="K47" s="245"/>
      <c r="L47" s="245"/>
      <c r="M47" s="228" t="b">
        <f>C47=[5]FORM.2!E49</f>
        <v>1</v>
      </c>
      <c r="N47" s="245"/>
      <c r="O47" s="245"/>
      <c r="P47" s="228" t="b">
        <f>F47=[5]FORM.2!M49</f>
        <v>1</v>
      </c>
      <c r="Q47" s="232"/>
      <c r="R47" s="232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</row>
    <row r="48" spans="1:33" s="169" customFormat="1" hidden="1">
      <c r="A48" s="11"/>
      <c r="B48" s="174"/>
      <c r="C48" s="8"/>
      <c r="D48" s="8"/>
      <c r="E48" s="8"/>
      <c r="F48" s="209">
        <v>0</v>
      </c>
      <c r="G48" s="209">
        <v>0</v>
      </c>
      <c r="H48" s="209">
        <v>0</v>
      </c>
      <c r="I48" s="122">
        <f t="shared" si="0"/>
        <v>0</v>
      </c>
      <c r="J48" s="190" t="s">
        <v>319</v>
      </c>
      <c r="K48" s="245"/>
      <c r="L48" s="245"/>
      <c r="M48" s="228" t="b">
        <f>C48=[5]FORM.2!E50</f>
        <v>1</v>
      </c>
      <c r="N48" s="245"/>
      <c r="O48" s="245"/>
      <c r="P48" s="228" t="b">
        <f>F48=[5]FORM.2!M50</f>
        <v>1</v>
      </c>
      <c r="Q48" s="232"/>
      <c r="R48" s="232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</row>
    <row r="49" spans="1:33" s="169" customFormat="1" hidden="1">
      <c r="A49" s="11"/>
      <c r="B49" s="174"/>
      <c r="C49" s="8"/>
      <c r="D49" s="8"/>
      <c r="E49" s="8"/>
      <c r="F49" s="209">
        <v>0</v>
      </c>
      <c r="G49" s="209">
        <v>0</v>
      </c>
      <c r="H49" s="209">
        <v>0</v>
      </c>
      <c r="I49" s="122">
        <f t="shared" si="0"/>
        <v>0</v>
      </c>
      <c r="J49" s="190" t="s">
        <v>319</v>
      </c>
      <c r="K49" s="245"/>
      <c r="L49" s="245"/>
      <c r="M49" s="228" t="b">
        <f>C49=[5]FORM.2!E51</f>
        <v>1</v>
      </c>
      <c r="N49" s="245"/>
      <c r="O49" s="245"/>
      <c r="P49" s="228" t="b">
        <f>F49=[5]FORM.2!M51</f>
        <v>1</v>
      </c>
      <c r="Q49" s="232"/>
      <c r="R49" s="232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</row>
    <row r="50" spans="1:33" s="169" customFormat="1" hidden="1">
      <c r="A50" s="11"/>
      <c r="B50" s="174"/>
      <c r="C50" s="8"/>
      <c r="D50" s="8"/>
      <c r="E50" s="8"/>
      <c r="F50" s="209">
        <v>0</v>
      </c>
      <c r="G50" s="209">
        <v>0</v>
      </c>
      <c r="H50" s="209">
        <v>0</v>
      </c>
      <c r="I50" s="122">
        <f t="shared" si="0"/>
        <v>0</v>
      </c>
      <c r="J50" s="190" t="s">
        <v>319</v>
      </c>
      <c r="K50" s="245"/>
      <c r="L50" s="245"/>
      <c r="M50" s="228" t="b">
        <f>C50=[5]FORM.2!E52</f>
        <v>1</v>
      </c>
      <c r="N50" s="245"/>
      <c r="O50" s="245"/>
      <c r="P50" s="228" t="b">
        <f>F50=[5]FORM.2!M52</f>
        <v>1</v>
      </c>
      <c r="Q50" s="232"/>
      <c r="R50" s="232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</row>
    <row r="51" spans="1:33" s="169" customFormat="1" hidden="1">
      <c r="A51" s="11"/>
      <c r="B51" s="174"/>
      <c r="C51" s="8"/>
      <c r="D51" s="8"/>
      <c r="E51" s="8"/>
      <c r="F51" s="209">
        <v>0</v>
      </c>
      <c r="G51" s="209">
        <v>0</v>
      </c>
      <c r="H51" s="209">
        <v>0</v>
      </c>
      <c r="I51" s="122">
        <f t="shared" si="0"/>
        <v>0</v>
      </c>
      <c r="J51" s="190" t="s">
        <v>319</v>
      </c>
      <c r="K51" s="245"/>
      <c r="L51" s="245"/>
      <c r="M51" s="228" t="b">
        <f>C51=[5]FORM.2!E53</f>
        <v>1</v>
      </c>
      <c r="N51" s="245"/>
      <c r="O51" s="245"/>
      <c r="P51" s="228" t="b">
        <f>F51=[5]FORM.2!M53</f>
        <v>1</v>
      </c>
      <c r="Q51" s="232"/>
      <c r="R51" s="232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</row>
    <row r="52" spans="1:33" s="169" customFormat="1" hidden="1">
      <c r="A52" s="11"/>
      <c r="B52" s="174"/>
      <c r="C52" s="8"/>
      <c r="D52" s="8"/>
      <c r="E52" s="8"/>
      <c r="F52" s="209">
        <v>0</v>
      </c>
      <c r="G52" s="209">
        <v>0</v>
      </c>
      <c r="H52" s="209">
        <v>0</v>
      </c>
      <c r="I52" s="122">
        <f t="shared" si="0"/>
        <v>0</v>
      </c>
      <c r="J52" s="190" t="s">
        <v>319</v>
      </c>
      <c r="K52" s="245"/>
      <c r="L52" s="245"/>
      <c r="M52" s="228" t="b">
        <f>C52=[5]FORM.2!E54</f>
        <v>1</v>
      </c>
      <c r="N52" s="245"/>
      <c r="O52" s="245"/>
      <c r="P52" s="228" t="b">
        <f>F52=[5]FORM.2!M54</f>
        <v>1</v>
      </c>
      <c r="Q52" s="232"/>
      <c r="R52" s="232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</row>
    <row r="53" spans="1:33" s="169" customFormat="1" hidden="1">
      <c r="A53" s="11"/>
      <c r="B53" s="174"/>
      <c r="C53" s="8"/>
      <c r="D53" s="8"/>
      <c r="E53" s="8"/>
      <c r="F53" s="209">
        <v>0</v>
      </c>
      <c r="G53" s="209">
        <v>0</v>
      </c>
      <c r="H53" s="209">
        <v>0</v>
      </c>
      <c r="I53" s="122">
        <f t="shared" si="0"/>
        <v>0</v>
      </c>
      <c r="J53" s="190" t="s">
        <v>319</v>
      </c>
      <c r="K53" s="245"/>
      <c r="L53" s="245"/>
      <c r="M53" s="228" t="b">
        <f>C53=[5]FORM.2!E55</f>
        <v>1</v>
      </c>
      <c r="N53" s="245"/>
      <c r="O53" s="245"/>
      <c r="P53" s="228" t="b">
        <f>F53=[5]FORM.2!M55</f>
        <v>1</v>
      </c>
      <c r="Q53" s="232"/>
      <c r="R53" s="232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</row>
    <row r="54" spans="1:33" s="169" customFormat="1" hidden="1">
      <c r="A54" s="11"/>
      <c r="B54" s="174"/>
      <c r="C54" s="8"/>
      <c r="D54" s="8"/>
      <c r="E54" s="8"/>
      <c r="F54" s="209">
        <v>0</v>
      </c>
      <c r="G54" s="209">
        <v>0</v>
      </c>
      <c r="H54" s="209">
        <v>0</v>
      </c>
      <c r="I54" s="122">
        <f t="shared" si="0"/>
        <v>0</v>
      </c>
      <c r="J54" s="190" t="s">
        <v>319</v>
      </c>
      <c r="K54" s="245"/>
      <c r="L54" s="245"/>
      <c r="M54" s="228" t="b">
        <f>C54=[5]FORM.2!E56</f>
        <v>1</v>
      </c>
      <c r="N54" s="245"/>
      <c r="O54" s="245"/>
      <c r="P54" s="228" t="b">
        <f>F54=[5]FORM.2!M56</f>
        <v>1</v>
      </c>
      <c r="Q54" s="232"/>
      <c r="R54" s="232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</row>
    <row r="55" spans="1:33" s="169" customFormat="1" hidden="1">
      <c r="A55" s="11"/>
      <c r="B55" s="174"/>
      <c r="C55" s="8"/>
      <c r="D55" s="8"/>
      <c r="E55" s="8"/>
      <c r="F55" s="209">
        <v>0</v>
      </c>
      <c r="G55" s="209">
        <v>0</v>
      </c>
      <c r="H55" s="209">
        <v>0</v>
      </c>
      <c r="I55" s="122">
        <f t="shared" si="0"/>
        <v>0</v>
      </c>
      <c r="J55" s="190" t="s">
        <v>319</v>
      </c>
      <c r="K55" s="245"/>
      <c r="L55" s="245"/>
      <c r="M55" s="228" t="b">
        <f>C55=[5]FORM.2!E57</f>
        <v>1</v>
      </c>
      <c r="N55" s="245"/>
      <c r="O55" s="245"/>
      <c r="P55" s="228" t="b">
        <f>F55=[5]FORM.2!M57</f>
        <v>1</v>
      </c>
      <c r="Q55" s="232"/>
      <c r="R55" s="232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</row>
    <row r="56" spans="1:33" s="169" customFormat="1" hidden="1">
      <c r="A56" s="11"/>
      <c r="B56" s="174"/>
      <c r="C56" s="8"/>
      <c r="D56" s="8"/>
      <c r="E56" s="8"/>
      <c r="F56" s="209">
        <v>0</v>
      </c>
      <c r="G56" s="209">
        <v>0</v>
      </c>
      <c r="H56" s="209">
        <v>0</v>
      </c>
      <c r="I56" s="122">
        <f t="shared" si="0"/>
        <v>0</v>
      </c>
      <c r="J56" s="190" t="s">
        <v>319</v>
      </c>
      <c r="K56" s="245"/>
      <c r="L56" s="245"/>
      <c r="M56" s="228" t="b">
        <f>C56=[5]FORM.2!E58</f>
        <v>1</v>
      </c>
      <c r="N56" s="245"/>
      <c r="O56" s="245"/>
      <c r="P56" s="228" t="b">
        <f>F56=[5]FORM.2!M58</f>
        <v>1</v>
      </c>
      <c r="Q56" s="232"/>
      <c r="R56" s="232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</row>
    <row r="57" spans="1:33" s="169" customFormat="1" hidden="1">
      <c r="A57" s="11"/>
      <c r="B57" s="174"/>
      <c r="C57" s="8"/>
      <c r="D57" s="8"/>
      <c r="E57" s="8"/>
      <c r="F57" s="209">
        <v>0</v>
      </c>
      <c r="G57" s="209">
        <v>0</v>
      </c>
      <c r="H57" s="209">
        <v>0</v>
      </c>
      <c r="I57" s="122">
        <f t="shared" si="0"/>
        <v>0</v>
      </c>
      <c r="J57" s="190" t="s">
        <v>319</v>
      </c>
      <c r="K57" s="245"/>
      <c r="L57" s="245"/>
      <c r="M57" s="228" t="b">
        <f>C57=[5]FORM.2!E59</f>
        <v>1</v>
      </c>
      <c r="N57" s="245"/>
      <c r="O57" s="245"/>
      <c r="P57" s="228" t="b">
        <f>F57=[5]FORM.2!M59</f>
        <v>1</v>
      </c>
      <c r="Q57" s="232"/>
      <c r="R57" s="232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</row>
    <row r="58" spans="1:33" s="169" customFormat="1" hidden="1">
      <c r="A58" s="11"/>
      <c r="B58" s="174"/>
      <c r="C58" s="8"/>
      <c r="D58" s="8"/>
      <c r="E58" s="8"/>
      <c r="F58" s="209">
        <v>0</v>
      </c>
      <c r="G58" s="209">
        <v>0</v>
      </c>
      <c r="H58" s="209">
        <v>0</v>
      </c>
      <c r="I58" s="122">
        <f t="shared" si="0"/>
        <v>0</v>
      </c>
      <c r="J58" s="190" t="s">
        <v>319</v>
      </c>
      <c r="K58" s="245"/>
      <c r="L58" s="245"/>
      <c r="M58" s="228" t="b">
        <f>C58=[5]FORM.2!E60</f>
        <v>1</v>
      </c>
      <c r="N58" s="245"/>
      <c r="O58" s="245"/>
      <c r="P58" s="228" t="b">
        <f>F58=[5]FORM.2!M60</f>
        <v>1</v>
      </c>
      <c r="Q58" s="232"/>
      <c r="R58" s="232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</row>
    <row r="59" spans="1:33" s="169" customFormat="1" hidden="1">
      <c r="A59" s="11"/>
      <c r="B59" s="174"/>
      <c r="C59" s="8"/>
      <c r="D59" s="8"/>
      <c r="E59" s="8"/>
      <c r="F59" s="209">
        <v>0</v>
      </c>
      <c r="G59" s="209">
        <v>0</v>
      </c>
      <c r="H59" s="209">
        <v>0</v>
      </c>
      <c r="I59" s="122">
        <f t="shared" si="0"/>
        <v>0</v>
      </c>
      <c r="J59" s="190" t="s">
        <v>319</v>
      </c>
      <c r="K59" s="245"/>
      <c r="L59" s="245"/>
      <c r="M59" s="228" t="b">
        <f>C59=[5]FORM.2!E61</f>
        <v>1</v>
      </c>
      <c r="N59" s="245"/>
      <c r="O59" s="245"/>
      <c r="P59" s="228" t="b">
        <f>F59=[5]FORM.2!M61</f>
        <v>1</v>
      </c>
      <c r="Q59" s="232"/>
      <c r="R59" s="232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</row>
    <row r="60" spans="1:33" s="169" customFormat="1" hidden="1">
      <c r="A60" s="11"/>
      <c r="B60" s="174"/>
      <c r="C60" s="8"/>
      <c r="D60" s="8"/>
      <c r="E60" s="8"/>
      <c r="F60" s="209">
        <v>0</v>
      </c>
      <c r="G60" s="209">
        <v>0</v>
      </c>
      <c r="H60" s="209">
        <v>0</v>
      </c>
      <c r="I60" s="122">
        <f t="shared" si="0"/>
        <v>0</v>
      </c>
      <c r="J60" s="190" t="s">
        <v>319</v>
      </c>
      <c r="K60" s="245"/>
      <c r="L60" s="245"/>
      <c r="M60" s="228" t="b">
        <f>C60=[5]FORM.2!E62</f>
        <v>1</v>
      </c>
      <c r="N60" s="245"/>
      <c r="O60" s="245"/>
      <c r="P60" s="228" t="b">
        <f>F60=[5]FORM.2!M62</f>
        <v>1</v>
      </c>
      <c r="Q60" s="232"/>
      <c r="R60" s="232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</row>
    <row r="61" spans="1:33" s="169" customFormat="1" hidden="1">
      <c r="A61" s="11"/>
      <c r="B61" s="174"/>
      <c r="C61" s="8"/>
      <c r="D61" s="8"/>
      <c r="E61" s="8"/>
      <c r="F61" s="209">
        <v>0</v>
      </c>
      <c r="G61" s="209">
        <v>0</v>
      </c>
      <c r="H61" s="209">
        <v>0</v>
      </c>
      <c r="I61" s="122">
        <f t="shared" si="0"/>
        <v>0</v>
      </c>
      <c r="J61" s="190" t="s">
        <v>319</v>
      </c>
      <c r="K61" s="245"/>
      <c r="L61" s="245"/>
      <c r="M61" s="228" t="b">
        <f>C61=[5]FORM.2!E63</f>
        <v>1</v>
      </c>
      <c r="N61" s="245"/>
      <c r="O61" s="245"/>
      <c r="P61" s="228" t="b">
        <f>F61=[5]FORM.2!M63</f>
        <v>1</v>
      </c>
      <c r="Q61" s="232"/>
      <c r="R61" s="232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</row>
    <row r="62" spans="1:33" s="169" customFormat="1" hidden="1">
      <c r="A62" s="11"/>
      <c r="B62" s="174"/>
      <c r="C62" s="8"/>
      <c r="D62" s="8"/>
      <c r="E62" s="8"/>
      <c r="F62" s="209">
        <v>0</v>
      </c>
      <c r="G62" s="209">
        <v>0</v>
      </c>
      <c r="H62" s="209">
        <v>0</v>
      </c>
      <c r="I62" s="122">
        <f t="shared" si="0"/>
        <v>0</v>
      </c>
      <c r="J62" s="190" t="s">
        <v>319</v>
      </c>
      <c r="K62" s="245"/>
      <c r="L62" s="245"/>
      <c r="M62" s="228" t="b">
        <f>C62=[5]FORM.2!E64</f>
        <v>1</v>
      </c>
      <c r="N62" s="245"/>
      <c r="O62" s="245"/>
      <c r="P62" s="228" t="b">
        <f>F62=[5]FORM.2!M64</f>
        <v>1</v>
      </c>
      <c r="Q62" s="232"/>
      <c r="R62" s="232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</row>
    <row r="63" spans="1:33" s="169" customFormat="1" hidden="1">
      <c r="A63" s="11"/>
      <c r="B63" s="174"/>
      <c r="C63" s="8"/>
      <c r="D63" s="8"/>
      <c r="E63" s="8"/>
      <c r="F63" s="209">
        <v>0</v>
      </c>
      <c r="G63" s="209">
        <v>0</v>
      </c>
      <c r="H63" s="209">
        <v>0</v>
      </c>
      <c r="I63" s="122">
        <f t="shared" si="0"/>
        <v>0</v>
      </c>
      <c r="J63" s="190" t="s">
        <v>319</v>
      </c>
      <c r="K63" s="245"/>
      <c r="L63" s="245"/>
      <c r="M63" s="228" t="b">
        <f>C63=[5]FORM.2!E65</f>
        <v>1</v>
      </c>
      <c r="N63" s="245"/>
      <c r="O63" s="245"/>
      <c r="P63" s="228" t="b">
        <f>F63=[5]FORM.2!M65</f>
        <v>1</v>
      </c>
      <c r="Q63" s="232"/>
      <c r="R63" s="232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</row>
    <row r="64" spans="1:33" s="169" customFormat="1" hidden="1">
      <c r="A64" s="11"/>
      <c r="B64" s="174"/>
      <c r="C64" s="8"/>
      <c r="D64" s="8"/>
      <c r="E64" s="8"/>
      <c r="F64" s="209">
        <v>0</v>
      </c>
      <c r="G64" s="209">
        <v>0</v>
      </c>
      <c r="H64" s="209">
        <v>0</v>
      </c>
      <c r="I64" s="122">
        <f t="shared" si="0"/>
        <v>0</v>
      </c>
      <c r="J64" s="190" t="s">
        <v>319</v>
      </c>
      <c r="K64" s="245"/>
      <c r="L64" s="245"/>
      <c r="M64" s="228" t="b">
        <f>C64=[5]FORM.2!E66</f>
        <v>1</v>
      </c>
      <c r="N64" s="245"/>
      <c r="O64" s="245"/>
      <c r="P64" s="228" t="b">
        <f>F64=[5]FORM.2!M66</f>
        <v>1</v>
      </c>
      <c r="Q64" s="232"/>
      <c r="R64" s="232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</row>
    <row r="65" spans="1:33" s="169" customFormat="1" hidden="1">
      <c r="A65" s="11"/>
      <c r="B65" s="174"/>
      <c r="C65" s="8"/>
      <c r="D65" s="8"/>
      <c r="E65" s="8"/>
      <c r="F65" s="209">
        <v>0</v>
      </c>
      <c r="G65" s="209">
        <v>0</v>
      </c>
      <c r="H65" s="209">
        <v>0</v>
      </c>
      <c r="I65" s="122">
        <f t="shared" si="0"/>
        <v>0</v>
      </c>
      <c r="J65" s="190" t="s">
        <v>319</v>
      </c>
      <c r="K65" s="245"/>
      <c r="L65" s="245"/>
      <c r="M65" s="228" t="b">
        <f>C65=[5]FORM.2!E67</f>
        <v>1</v>
      </c>
      <c r="N65" s="245"/>
      <c r="O65" s="245"/>
      <c r="P65" s="228" t="b">
        <f>F65=[5]FORM.2!M67</f>
        <v>1</v>
      </c>
      <c r="Q65" s="232"/>
      <c r="R65" s="232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</row>
    <row r="66" spans="1:33" s="169" customFormat="1" hidden="1">
      <c r="A66" s="11"/>
      <c r="B66" s="174"/>
      <c r="C66" s="8"/>
      <c r="D66" s="8"/>
      <c r="E66" s="8"/>
      <c r="F66" s="209">
        <v>0</v>
      </c>
      <c r="G66" s="209">
        <v>0</v>
      </c>
      <c r="H66" s="209">
        <v>0</v>
      </c>
      <c r="I66" s="122">
        <f t="shared" si="0"/>
        <v>0</v>
      </c>
      <c r="J66" s="190" t="s">
        <v>319</v>
      </c>
      <c r="K66" s="245"/>
      <c r="L66" s="245"/>
      <c r="M66" s="228" t="b">
        <f>C66=[5]FORM.2!E68</f>
        <v>1</v>
      </c>
      <c r="N66" s="245"/>
      <c r="O66" s="245"/>
      <c r="P66" s="228" t="b">
        <f>F66=[5]FORM.2!M68</f>
        <v>1</v>
      </c>
      <c r="Q66" s="232"/>
      <c r="R66" s="232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</row>
    <row r="67" spans="1:33" s="169" customFormat="1" hidden="1">
      <c r="A67" s="11"/>
      <c r="B67" s="174"/>
      <c r="C67" s="8"/>
      <c r="D67" s="8"/>
      <c r="E67" s="8"/>
      <c r="F67" s="209">
        <v>0</v>
      </c>
      <c r="G67" s="209">
        <v>0</v>
      </c>
      <c r="H67" s="209">
        <v>0</v>
      </c>
      <c r="I67" s="122">
        <f t="shared" si="0"/>
        <v>0</v>
      </c>
      <c r="J67" s="190" t="s">
        <v>319</v>
      </c>
      <c r="K67" s="245"/>
      <c r="L67" s="245"/>
      <c r="M67" s="228" t="b">
        <f>C67=[5]FORM.2!E69</f>
        <v>1</v>
      </c>
      <c r="N67" s="245"/>
      <c r="O67" s="245"/>
      <c r="P67" s="228" t="b">
        <f>F67=[5]FORM.2!M69</f>
        <v>1</v>
      </c>
      <c r="Q67" s="232"/>
      <c r="R67" s="232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</row>
    <row r="68" spans="1:33" s="169" customFormat="1" hidden="1">
      <c r="A68" s="11"/>
      <c r="B68" s="174"/>
      <c r="C68" s="8"/>
      <c r="D68" s="8"/>
      <c r="E68" s="8"/>
      <c r="F68" s="209">
        <v>0</v>
      </c>
      <c r="G68" s="209">
        <v>0</v>
      </c>
      <c r="H68" s="209">
        <v>0</v>
      </c>
      <c r="I68" s="122">
        <f t="shared" si="0"/>
        <v>0</v>
      </c>
      <c r="J68" s="190" t="s">
        <v>319</v>
      </c>
      <c r="K68" s="245"/>
      <c r="L68" s="245"/>
      <c r="M68" s="228" t="b">
        <f>C68=[5]FORM.2!E70</f>
        <v>1</v>
      </c>
      <c r="N68" s="245"/>
      <c r="O68" s="245"/>
      <c r="P68" s="228" t="b">
        <f>F68=[5]FORM.2!M70</f>
        <v>1</v>
      </c>
      <c r="Q68" s="232"/>
      <c r="R68" s="232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</row>
    <row r="69" spans="1:33" s="169" customFormat="1" hidden="1">
      <c r="A69" s="11"/>
      <c r="B69" s="174"/>
      <c r="C69" s="8"/>
      <c r="D69" s="8"/>
      <c r="E69" s="8"/>
      <c r="F69" s="209">
        <v>0</v>
      </c>
      <c r="G69" s="209">
        <v>0</v>
      </c>
      <c r="H69" s="209">
        <v>0</v>
      </c>
      <c r="I69" s="122">
        <f t="shared" si="0"/>
        <v>0</v>
      </c>
      <c r="J69" s="190" t="s">
        <v>319</v>
      </c>
      <c r="K69" s="245"/>
      <c r="L69" s="245"/>
      <c r="M69" s="228" t="b">
        <f>C69=[5]FORM.2!E71</f>
        <v>1</v>
      </c>
      <c r="N69" s="245"/>
      <c r="O69" s="245"/>
      <c r="P69" s="228" t="b">
        <f>F69=[5]FORM.2!M71</f>
        <v>1</v>
      </c>
      <c r="Q69" s="232"/>
      <c r="R69" s="232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</row>
    <row r="70" spans="1:33" s="169" customFormat="1" hidden="1">
      <c r="A70" s="11"/>
      <c r="B70" s="174"/>
      <c r="C70" s="8"/>
      <c r="D70" s="8"/>
      <c r="E70" s="8"/>
      <c r="F70" s="209">
        <v>0</v>
      </c>
      <c r="G70" s="209">
        <v>0</v>
      </c>
      <c r="H70" s="209">
        <v>0</v>
      </c>
      <c r="I70" s="122">
        <f t="shared" si="0"/>
        <v>0</v>
      </c>
      <c r="J70" s="190" t="s">
        <v>319</v>
      </c>
      <c r="K70" s="245"/>
      <c r="L70" s="245"/>
      <c r="M70" s="228" t="b">
        <f>C70=[5]FORM.2!E72</f>
        <v>1</v>
      </c>
      <c r="N70" s="245"/>
      <c r="O70" s="245"/>
      <c r="P70" s="228" t="b">
        <f>F70=[5]FORM.2!M72</f>
        <v>1</v>
      </c>
      <c r="Q70" s="232"/>
      <c r="R70" s="232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</row>
    <row r="71" spans="1:33" s="169" customFormat="1" hidden="1">
      <c r="A71" s="11"/>
      <c r="B71" s="174"/>
      <c r="C71" s="8"/>
      <c r="D71" s="8"/>
      <c r="E71" s="8"/>
      <c r="F71" s="209">
        <v>0</v>
      </c>
      <c r="G71" s="209">
        <v>0</v>
      </c>
      <c r="H71" s="209">
        <v>0</v>
      </c>
      <c r="I71" s="122">
        <f t="shared" si="0"/>
        <v>0</v>
      </c>
      <c r="J71" s="190" t="s">
        <v>319</v>
      </c>
      <c r="K71" s="245"/>
      <c r="L71" s="245"/>
      <c r="M71" s="228" t="b">
        <f>C71=[5]FORM.2!E73</f>
        <v>1</v>
      </c>
      <c r="N71" s="245"/>
      <c r="O71" s="245"/>
      <c r="P71" s="228" t="b">
        <f>F71=[5]FORM.2!M73</f>
        <v>1</v>
      </c>
      <c r="Q71" s="232"/>
      <c r="R71" s="232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</row>
    <row r="72" spans="1:33" s="169" customFormat="1" hidden="1">
      <c r="A72" s="11"/>
      <c r="B72" s="174"/>
      <c r="C72" s="8"/>
      <c r="D72" s="8"/>
      <c r="E72" s="8"/>
      <c r="F72" s="209">
        <v>0</v>
      </c>
      <c r="G72" s="209">
        <v>0</v>
      </c>
      <c r="H72" s="209">
        <v>0</v>
      </c>
      <c r="I72" s="122">
        <f t="shared" ref="I72:I81" si="1">IFERROR(H72/G72*100,)</f>
        <v>0</v>
      </c>
      <c r="J72" s="190" t="s">
        <v>319</v>
      </c>
      <c r="K72" s="245"/>
      <c r="L72" s="245"/>
      <c r="M72" s="228" t="b">
        <f>C72=[5]FORM.2!E74</f>
        <v>1</v>
      </c>
      <c r="N72" s="245"/>
      <c r="O72" s="245"/>
      <c r="P72" s="228" t="b">
        <f>F72=[5]FORM.2!M74</f>
        <v>1</v>
      </c>
      <c r="Q72" s="232"/>
      <c r="R72" s="232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</row>
    <row r="73" spans="1:33" s="169" customFormat="1" hidden="1">
      <c r="A73" s="11"/>
      <c r="B73" s="174"/>
      <c r="C73" s="8"/>
      <c r="D73" s="8"/>
      <c r="E73" s="8"/>
      <c r="F73" s="209">
        <v>0</v>
      </c>
      <c r="G73" s="209">
        <v>0</v>
      </c>
      <c r="H73" s="209">
        <v>0</v>
      </c>
      <c r="I73" s="122">
        <f t="shared" si="1"/>
        <v>0</v>
      </c>
      <c r="J73" s="190" t="s">
        <v>319</v>
      </c>
      <c r="K73" s="245"/>
      <c r="L73" s="245"/>
      <c r="M73" s="228" t="b">
        <f>C73=[5]FORM.2!E75</f>
        <v>1</v>
      </c>
      <c r="N73" s="245"/>
      <c r="O73" s="245"/>
      <c r="P73" s="228" t="b">
        <f>F73=[5]FORM.2!M75</f>
        <v>1</v>
      </c>
      <c r="Q73" s="232"/>
      <c r="R73" s="232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</row>
    <row r="74" spans="1:33" s="169" customFormat="1" hidden="1">
      <c r="A74" s="11"/>
      <c r="B74" s="174"/>
      <c r="C74" s="8"/>
      <c r="D74" s="8"/>
      <c r="E74" s="8"/>
      <c r="F74" s="209">
        <v>0</v>
      </c>
      <c r="G74" s="209">
        <v>0</v>
      </c>
      <c r="H74" s="209">
        <v>0</v>
      </c>
      <c r="I74" s="122">
        <f t="shared" si="1"/>
        <v>0</v>
      </c>
      <c r="J74" s="190" t="s">
        <v>319</v>
      </c>
      <c r="K74" s="245"/>
      <c r="L74" s="245"/>
      <c r="M74" s="228" t="b">
        <f>C74=[5]FORM.2!E76</f>
        <v>1</v>
      </c>
      <c r="N74" s="245"/>
      <c r="O74" s="245"/>
      <c r="P74" s="228" t="b">
        <f>F74=[5]FORM.2!M76</f>
        <v>1</v>
      </c>
      <c r="Q74" s="232"/>
      <c r="R74" s="232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</row>
    <row r="75" spans="1:33" s="169" customFormat="1" hidden="1">
      <c r="A75" s="11"/>
      <c r="B75" s="174"/>
      <c r="C75" s="8"/>
      <c r="D75" s="8"/>
      <c r="E75" s="8"/>
      <c r="F75" s="209">
        <v>0</v>
      </c>
      <c r="G75" s="209">
        <v>0</v>
      </c>
      <c r="H75" s="209">
        <v>0</v>
      </c>
      <c r="I75" s="122">
        <f t="shared" si="1"/>
        <v>0</v>
      </c>
      <c r="J75" s="190" t="s">
        <v>319</v>
      </c>
      <c r="K75" s="245"/>
      <c r="L75" s="245"/>
      <c r="M75" s="228" t="b">
        <f>C75=[5]FORM.2!E77</f>
        <v>1</v>
      </c>
      <c r="N75" s="245"/>
      <c r="O75" s="245"/>
      <c r="P75" s="228" t="b">
        <f>F75=[5]FORM.2!M77</f>
        <v>1</v>
      </c>
      <c r="Q75" s="232"/>
      <c r="R75" s="232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</row>
    <row r="76" spans="1:33" s="169" customFormat="1" hidden="1">
      <c r="A76" s="11"/>
      <c r="B76" s="174"/>
      <c r="C76" s="8"/>
      <c r="D76" s="8"/>
      <c r="E76" s="8"/>
      <c r="F76" s="209">
        <v>0</v>
      </c>
      <c r="G76" s="209">
        <v>0</v>
      </c>
      <c r="H76" s="209">
        <v>0</v>
      </c>
      <c r="I76" s="122">
        <f t="shared" si="1"/>
        <v>0</v>
      </c>
      <c r="J76" s="190" t="s">
        <v>319</v>
      </c>
      <c r="K76" s="245"/>
      <c r="L76" s="245"/>
      <c r="M76" s="228" t="b">
        <f>C76=[5]FORM.2!E78</f>
        <v>1</v>
      </c>
      <c r="N76" s="245"/>
      <c r="O76" s="245"/>
      <c r="P76" s="228" t="b">
        <f>F76=[5]FORM.2!M78</f>
        <v>1</v>
      </c>
      <c r="Q76" s="232"/>
      <c r="R76" s="232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</row>
    <row r="77" spans="1:33" s="169" customFormat="1" hidden="1">
      <c r="A77" s="11"/>
      <c r="B77" s="174"/>
      <c r="C77" s="8"/>
      <c r="D77" s="8"/>
      <c r="E77" s="8"/>
      <c r="F77" s="209">
        <v>0</v>
      </c>
      <c r="G77" s="209">
        <v>0</v>
      </c>
      <c r="H77" s="209">
        <v>0</v>
      </c>
      <c r="I77" s="122">
        <f t="shared" si="1"/>
        <v>0</v>
      </c>
      <c r="J77" s="190" t="s">
        <v>319</v>
      </c>
      <c r="K77" s="245"/>
      <c r="L77" s="245"/>
      <c r="M77" s="228" t="b">
        <f>C77=[5]FORM.2!E79</f>
        <v>1</v>
      </c>
      <c r="N77" s="245"/>
      <c r="O77" s="245"/>
      <c r="P77" s="228" t="b">
        <f>F77=[5]FORM.2!M79</f>
        <v>1</v>
      </c>
      <c r="Q77" s="232"/>
      <c r="R77" s="232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</row>
    <row r="78" spans="1:33" s="169" customFormat="1" hidden="1">
      <c r="A78" s="11"/>
      <c r="B78" s="174"/>
      <c r="C78" s="8"/>
      <c r="D78" s="8"/>
      <c r="E78" s="8"/>
      <c r="F78" s="209">
        <v>0</v>
      </c>
      <c r="G78" s="209">
        <v>0</v>
      </c>
      <c r="H78" s="209">
        <v>0</v>
      </c>
      <c r="I78" s="122">
        <f t="shared" si="1"/>
        <v>0</v>
      </c>
      <c r="J78" s="190" t="s">
        <v>319</v>
      </c>
      <c r="K78" s="245"/>
      <c r="L78" s="245"/>
      <c r="M78" s="228" t="b">
        <f>C78=[5]FORM.2!E80</f>
        <v>1</v>
      </c>
      <c r="N78" s="245"/>
      <c r="O78" s="245"/>
      <c r="P78" s="228" t="b">
        <f>F78=[5]FORM.2!M80</f>
        <v>1</v>
      </c>
      <c r="Q78" s="232"/>
      <c r="R78" s="232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</row>
    <row r="79" spans="1:33" s="169" customFormat="1" hidden="1">
      <c r="A79" s="11"/>
      <c r="B79" s="174"/>
      <c r="C79" s="8"/>
      <c r="D79" s="8"/>
      <c r="E79" s="8"/>
      <c r="F79" s="209">
        <v>0</v>
      </c>
      <c r="G79" s="209">
        <v>0</v>
      </c>
      <c r="H79" s="209">
        <v>0</v>
      </c>
      <c r="I79" s="122">
        <f t="shared" si="1"/>
        <v>0</v>
      </c>
      <c r="J79" s="190" t="s">
        <v>319</v>
      </c>
      <c r="K79" s="245"/>
      <c r="L79" s="245"/>
      <c r="M79" s="228" t="b">
        <f>C79=[5]FORM.2!E81</f>
        <v>1</v>
      </c>
      <c r="N79" s="245"/>
      <c r="O79" s="245"/>
      <c r="P79" s="228" t="b">
        <f>F79=[5]FORM.2!M81</f>
        <v>1</v>
      </c>
      <c r="Q79" s="232"/>
      <c r="R79" s="232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</row>
    <row r="80" spans="1:33" s="169" customFormat="1" hidden="1">
      <c r="A80" s="11"/>
      <c r="B80" s="174"/>
      <c r="C80" s="8"/>
      <c r="D80" s="8"/>
      <c r="E80" s="8"/>
      <c r="F80" s="209">
        <v>0</v>
      </c>
      <c r="G80" s="209">
        <v>0</v>
      </c>
      <c r="H80" s="209">
        <v>0</v>
      </c>
      <c r="I80" s="122">
        <f t="shared" si="1"/>
        <v>0</v>
      </c>
      <c r="J80" s="190" t="s">
        <v>319</v>
      </c>
      <c r="K80" s="245"/>
      <c r="L80" s="245"/>
      <c r="M80" s="228" t="b">
        <f>C80=[5]FORM.2!E82</f>
        <v>1</v>
      </c>
      <c r="N80" s="245"/>
      <c r="O80" s="245"/>
      <c r="P80" s="228" t="b">
        <f>F80=[5]FORM.2!M82</f>
        <v>1</v>
      </c>
      <c r="Q80" s="232"/>
      <c r="R80" s="232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</row>
    <row r="81" spans="1:33" s="169" customFormat="1" ht="27" thickBot="1">
      <c r="A81" s="430" t="s">
        <v>3</v>
      </c>
      <c r="B81" s="431"/>
      <c r="C81" s="431"/>
      <c r="D81" s="431"/>
      <c r="E81" s="432"/>
      <c r="F81" s="123">
        <f>SUM(F7:F80)</f>
        <v>3997383.9222594704</v>
      </c>
      <c r="G81" s="123">
        <f t="shared" ref="G81:H81" si="2">SUM(G7:G80)</f>
        <v>3997383.92</v>
      </c>
      <c r="H81" s="123">
        <f t="shared" si="2"/>
        <v>3644553.4899999993</v>
      </c>
      <c r="I81" s="122">
        <f t="shared" si="1"/>
        <v>91.173466520573768</v>
      </c>
      <c r="J81" s="168"/>
      <c r="K81" s="168"/>
      <c r="L81" s="168"/>
      <c r="M81" s="168"/>
      <c r="N81" s="168"/>
      <c r="O81" s="168"/>
      <c r="P81" s="282">
        <f>[5]FORM.2!$M$23</f>
        <v>3997383.92</v>
      </c>
      <c r="Q81" s="280" t="b">
        <f>G81=CC!B60</f>
        <v>1</v>
      </c>
      <c r="R81" s="280" t="b">
        <f>H81=CC!E60</f>
        <v>1</v>
      </c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</row>
    <row r="82" spans="1:33" s="169" customFormat="1">
      <c r="A82" s="429" t="s">
        <v>202</v>
      </c>
      <c r="B82" s="429"/>
      <c r="C82" s="429"/>
      <c r="D82" s="429"/>
      <c r="E82" s="429"/>
      <c r="F82" s="172"/>
      <c r="G82" s="301">
        <f>F81-G81</f>
        <v>2.259470522403717E-3</v>
      </c>
      <c r="H82" s="172"/>
      <c r="I82" s="172"/>
      <c r="J82" s="168"/>
      <c r="K82" s="168"/>
      <c r="L82" s="168"/>
      <c r="M82" s="168"/>
      <c r="N82" s="168"/>
      <c r="O82" s="168"/>
      <c r="P82" s="302">
        <f>F81-P81</f>
        <v>2.259470522403717E-3</v>
      </c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</row>
    <row r="83" spans="1:33" s="169" customFormat="1">
      <c r="A83" s="425" t="s">
        <v>161</v>
      </c>
      <c r="B83" s="425"/>
      <c r="C83" s="425"/>
      <c r="D83" s="425"/>
      <c r="E83" s="425"/>
      <c r="F83" s="425"/>
      <c r="G83" s="426"/>
      <c r="H83" s="425"/>
      <c r="I83" s="425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</row>
    <row r="84" spans="1:33" s="169" customFormat="1" ht="123.75" customHeight="1">
      <c r="A84" s="423" t="s">
        <v>801</v>
      </c>
      <c r="B84" s="424"/>
      <c r="C84" s="424"/>
      <c r="D84" s="424"/>
      <c r="E84" s="424"/>
      <c r="F84" s="424"/>
      <c r="G84" s="424"/>
      <c r="H84" s="424"/>
      <c r="I84" s="424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</row>
    <row r="85" spans="1:33" s="169" customFormat="1">
      <c r="A85" s="422"/>
      <c r="B85" s="422"/>
      <c r="C85" s="422"/>
      <c r="D85" s="422"/>
      <c r="E85" s="422"/>
      <c r="F85" s="422"/>
      <c r="G85" s="422"/>
      <c r="H85" s="422"/>
      <c r="I85" s="422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</row>
  </sheetData>
  <sheetProtection formatCells="0" formatRows="0" insertRows="0" deleteRows="0"/>
  <protectedRanges>
    <protectedRange algorithmName="SHA-512" hashValue="oBu0U8UHWW1M9CSBiI+2smTKBuiu7zBMJPASzxaVW3/YfTocFsZXqoNbgPAUiXKweXnE/VLNBYi0YQjO9aRFIA==" saltValue="Uwn4xh4BFhDBBJp6oLNp+A==" spinCount="100000" sqref="AC5" name="Indicadores"/>
  </protectedRanges>
  <mergeCells count="27">
    <mergeCell ref="A85:I85"/>
    <mergeCell ref="A84:I84"/>
    <mergeCell ref="A83:I83"/>
    <mergeCell ref="F5:F6"/>
    <mergeCell ref="H5:H6"/>
    <mergeCell ref="A82:E82"/>
    <mergeCell ref="A81:E81"/>
    <mergeCell ref="G5:G6"/>
    <mergeCell ref="E5:E6"/>
    <mergeCell ref="A5:A6"/>
    <mergeCell ref="B5:B6"/>
    <mergeCell ref="C5:C6"/>
    <mergeCell ref="D5:D6"/>
    <mergeCell ref="T10:AA10"/>
    <mergeCell ref="J5:J6"/>
    <mergeCell ref="K5:K6"/>
    <mergeCell ref="L5:L6"/>
    <mergeCell ref="M5:M6"/>
    <mergeCell ref="N5:N6"/>
    <mergeCell ref="O5:O6"/>
    <mergeCell ref="P5:P6"/>
    <mergeCell ref="AC5:AJ6"/>
    <mergeCell ref="A4:J4"/>
    <mergeCell ref="A1:J1"/>
    <mergeCell ref="A2:J2"/>
    <mergeCell ref="T6:AA8"/>
    <mergeCell ref="AC7:AJ7"/>
  </mergeCells>
  <phoneticPr fontId="19" type="noConversion"/>
  <conditionalFormatting sqref="F82:I82">
    <cfRule type="cellIs" dxfId="33" priority="13" operator="equal">
      <formula>TRUE</formula>
    </cfRule>
  </conditionalFormatting>
  <conditionalFormatting sqref="I7:I81">
    <cfRule type="cellIs" dxfId="32" priority="11" operator="greaterThan">
      <formula>100.01</formula>
    </cfRule>
  </conditionalFormatting>
  <conditionalFormatting sqref="I7:I81">
    <cfRule type="cellIs" dxfId="31" priority="10" operator="lessThan">
      <formula>100.01</formula>
    </cfRule>
  </conditionalFormatting>
  <conditionalFormatting sqref="M7:M80">
    <cfRule type="containsText" dxfId="30" priority="6" operator="containsText" text="falso">
      <formula>NOT(ISERROR(SEARCH("falso",M7)))</formula>
    </cfRule>
    <cfRule type="containsText" dxfId="29" priority="7" operator="containsText" text="verdadeiro">
      <formula>NOT(ISERROR(SEARCH("verdadeiro",M7)))</formula>
    </cfRule>
  </conditionalFormatting>
  <conditionalFormatting sqref="K7:K20">
    <cfRule type="containsText" dxfId="28" priority="5" operator="containsText" text="verdadeiro">
      <formula>NOT(ISERROR(SEARCH("verdadeiro",K7)))</formula>
    </cfRule>
  </conditionalFormatting>
  <conditionalFormatting sqref="L7:L20">
    <cfRule type="containsText" dxfId="27" priority="4" operator="containsText" text="verdadeiro">
      <formula>NOT(ISERROR(SEARCH("verdadeiro",L7)))</formula>
    </cfRule>
  </conditionalFormatting>
  <conditionalFormatting sqref="N7:N20">
    <cfRule type="containsText" dxfId="26" priority="3" operator="containsText" text="verdadeiro">
      <formula>NOT(ISERROR(SEARCH("verdadeiro",N7)))</formula>
    </cfRule>
  </conditionalFormatting>
  <conditionalFormatting sqref="O7:O81">
    <cfRule type="containsText" dxfId="25" priority="2" operator="containsText" text="verdadeiro">
      <formula>NOT(ISERROR(SEARCH("verdadeiro",O7)))</formula>
    </cfRule>
  </conditionalFormatting>
  <conditionalFormatting sqref="P7:R7 Q8:R20 P8:P81">
    <cfRule type="containsText" dxfId="24" priority="1" operator="containsText" text="verdadeiro">
      <formula>NOT(ISERROR(SEARCH("verdadeiro",P7)))</formula>
    </cfRule>
  </conditionalFormatting>
  <dataValidations count="1">
    <dataValidation type="list" allowBlank="1" showInputMessage="1" showErrorMessage="1" sqref="J7:J80 K21:L80 N21:O80">
      <mc:AlternateContent xmlns:x12ac="http://schemas.microsoft.com/office/spreadsheetml/2011/1/ac" xmlns:mc="http://schemas.openxmlformats.org/markup-compatibility/2006">
        <mc:Choice Requires="x12ac">
          <x12ac:list>"""Concluído""","""Parcialmente Concluído""","""Não Realizado"""</x12ac:list>
        </mc:Choice>
        <mc:Fallback>
          <formula1>"""Concluído"",""Parcialmente Concluído"",""Não Realizado"""</formula1>
        </mc:Fallback>
      </mc:AlternateContent>
    </dataValidation>
  </dataValidations>
  <pageMargins left="0.23622047244094491" right="0.23622047244094491" top="0.27" bottom="0.17" header="0.31496062992125984" footer="0.31496062992125984"/>
  <pageSetup paperSize="9" scale="87" fitToHeight="0" orientation="landscape" r:id="rId1"/>
  <ignoredErrors>
    <ignoredError sqref="G7:G8 G10:G2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'Validação de dados'!$D$1:$D$16</xm:f>
          </x14:formula1>
          <xm:sqref>D7:D80</xm:sqref>
        </x14:dataValidation>
        <x14:dataValidation type="list" allowBlank="1" showInputMessage="1" showErrorMessage="1">
          <x14:formula1>
            <xm:f>'Validação de dados'!$E$1:$E$6</xm:f>
          </x14:formula1>
          <xm:sqref>B7:B80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/>
  <cols>
    <col min="1" max="1" width="13.28515625" style="234" bestFit="1" customWidth="1"/>
    <col min="2" max="2" width="56.85546875" style="234" bestFit="1" customWidth="1"/>
    <col min="3" max="3" width="11" style="234" bestFit="1" customWidth="1"/>
    <col min="4" max="4" width="14.7109375" style="234" bestFit="1" customWidth="1"/>
    <col min="5" max="5" width="18.85546875" style="234" bestFit="1" customWidth="1"/>
    <col min="6" max="6" width="19.7109375" style="234" bestFit="1" customWidth="1"/>
    <col min="7" max="7" width="16.85546875" style="234" bestFit="1" customWidth="1"/>
    <col min="8" max="8" width="17.85546875" style="234" bestFit="1" customWidth="1"/>
    <col min="9" max="9" width="12.28515625" style="234" bestFit="1" customWidth="1"/>
    <col min="10" max="10" width="13.28515625" style="234" bestFit="1" customWidth="1"/>
    <col min="11" max="11" width="18.28515625" style="234" bestFit="1" customWidth="1"/>
    <col min="12" max="12" width="14.42578125" style="234" bestFit="1" customWidth="1"/>
    <col min="13" max="13" width="12" style="234" bestFit="1" customWidth="1"/>
    <col min="14" max="16384" width="9.140625" style="234"/>
  </cols>
  <sheetData>
    <row r="1" spans="1:13">
      <c r="A1" s="234" t="s">
        <v>442</v>
      </c>
      <c r="B1" s="234" t="s">
        <v>441</v>
      </c>
      <c r="C1" s="234" t="s">
        <v>440</v>
      </c>
      <c r="D1" s="234" t="s">
        <v>439</v>
      </c>
      <c r="E1" s="234" t="s">
        <v>438</v>
      </c>
      <c r="F1" s="234" t="s">
        <v>437</v>
      </c>
      <c r="G1" s="234" t="s">
        <v>436</v>
      </c>
      <c r="H1" s="234" t="s">
        <v>435</v>
      </c>
      <c r="I1" s="234" t="s">
        <v>434</v>
      </c>
      <c r="J1" s="234" t="s">
        <v>433</v>
      </c>
      <c r="K1" s="234" t="s">
        <v>432</v>
      </c>
      <c r="L1" s="234" t="s">
        <v>431</v>
      </c>
      <c r="M1" s="234" t="s">
        <v>430</v>
      </c>
    </row>
    <row r="2" spans="1:13">
      <c r="A2" s="234" t="s">
        <v>429</v>
      </c>
      <c r="B2" s="234" t="s">
        <v>428</v>
      </c>
      <c r="C2" s="234">
        <v>3997383.92</v>
      </c>
      <c r="D2" s="234">
        <v>0</v>
      </c>
      <c r="E2" s="234">
        <v>3644553.49</v>
      </c>
      <c r="F2" s="234">
        <v>3644553.49</v>
      </c>
      <c r="G2" s="234">
        <v>3366891.96</v>
      </c>
      <c r="H2" s="234">
        <v>3366891.96</v>
      </c>
      <c r="I2" s="234">
        <v>3364239.58</v>
      </c>
      <c r="J2" s="234">
        <v>3364239.58</v>
      </c>
      <c r="K2" s="234">
        <v>352830.43</v>
      </c>
      <c r="L2" s="234">
        <v>277661.53000000003</v>
      </c>
      <c r="M2" s="234">
        <v>2652.38</v>
      </c>
    </row>
    <row r="3" spans="1:13">
      <c r="A3" s="234" t="s">
        <v>427</v>
      </c>
      <c r="B3" s="234" t="s">
        <v>426</v>
      </c>
      <c r="C3" s="234">
        <v>176300.11</v>
      </c>
      <c r="D3" s="234">
        <v>0</v>
      </c>
      <c r="E3" s="234">
        <v>125218.07</v>
      </c>
      <c r="F3" s="234">
        <v>125218.07</v>
      </c>
      <c r="G3" s="234">
        <v>125218.07</v>
      </c>
      <c r="H3" s="234">
        <v>125218.07</v>
      </c>
      <c r="I3" s="234">
        <v>125218.07</v>
      </c>
      <c r="J3" s="234">
        <v>125218.07</v>
      </c>
      <c r="K3" s="234">
        <v>51082.04</v>
      </c>
      <c r="L3" s="234">
        <v>0</v>
      </c>
      <c r="M3" s="234">
        <v>0</v>
      </c>
    </row>
    <row r="4" spans="1:13">
      <c r="A4" s="234" t="s">
        <v>425</v>
      </c>
      <c r="B4" s="234" t="s">
        <v>424</v>
      </c>
      <c r="C4" s="234">
        <v>176300.11</v>
      </c>
      <c r="D4" s="234">
        <v>0</v>
      </c>
      <c r="E4" s="234">
        <v>125218.07</v>
      </c>
      <c r="F4" s="234">
        <v>125218.07</v>
      </c>
      <c r="G4" s="234">
        <v>125218.07</v>
      </c>
      <c r="H4" s="234">
        <v>125218.07</v>
      </c>
      <c r="I4" s="234">
        <v>125218.07</v>
      </c>
      <c r="J4" s="234">
        <v>125218.07</v>
      </c>
      <c r="K4" s="234">
        <v>51082.04</v>
      </c>
      <c r="L4" s="234">
        <v>0</v>
      </c>
      <c r="M4" s="234">
        <v>0</v>
      </c>
    </row>
    <row r="5" spans="1:13">
      <c r="A5" s="234" t="s">
        <v>423</v>
      </c>
      <c r="B5" s="234" t="s">
        <v>422</v>
      </c>
      <c r="C5" s="234">
        <v>176300.11</v>
      </c>
      <c r="D5" s="234">
        <v>0</v>
      </c>
      <c r="E5" s="234">
        <v>125218.07</v>
      </c>
      <c r="F5" s="234">
        <v>125218.07</v>
      </c>
      <c r="G5" s="234">
        <v>125218.07</v>
      </c>
      <c r="H5" s="234">
        <v>125218.07</v>
      </c>
      <c r="I5" s="234">
        <v>125218.07</v>
      </c>
      <c r="J5" s="234">
        <v>125218.07</v>
      </c>
      <c r="K5" s="234">
        <v>51082.04</v>
      </c>
      <c r="L5" s="234">
        <v>0</v>
      </c>
      <c r="M5" s="234">
        <v>0</v>
      </c>
    </row>
    <row r="6" spans="1:13">
      <c r="A6" s="234" t="s">
        <v>421</v>
      </c>
      <c r="B6" s="234" t="s">
        <v>420</v>
      </c>
      <c r="C6" s="234">
        <v>3821083.81</v>
      </c>
      <c r="D6" s="234">
        <v>0</v>
      </c>
      <c r="E6" s="234">
        <v>3519335.42</v>
      </c>
      <c r="F6" s="234">
        <v>3519335.42</v>
      </c>
      <c r="G6" s="234">
        <v>3241673.89</v>
      </c>
      <c r="H6" s="234">
        <v>3241673.89</v>
      </c>
      <c r="I6" s="234">
        <v>3239021.51</v>
      </c>
      <c r="J6" s="234">
        <v>3239021.51</v>
      </c>
      <c r="K6" s="234">
        <v>301748.39</v>
      </c>
      <c r="L6" s="234">
        <v>277661.53000000003</v>
      </c>
      <c r="M6" s="234">
        <v>2652.38</v>
      </c>
    </row>
    <row r="7" spans="1:13">
      <c r="A7" s="234" t="s">
        <v>419</v>
      </c>
      <c r="B7" s="234" t="s">
        <v>418</v>
      </c>
      <c r="C7" s="234">
        <v>979475.47</v>
      </c>
      <c r="D7" s="234">
        <v>0</v>
      </c>
      <c r="E7" s="234">
        <v>972108.25</v>
      </c>
      <c r="F7" s="234">
        <v>972108.25</v>
      </c>
      <c r="G7" s="234">
        <v>956873.68</v>
      </c>
      <c r="H7" s="234">
        <v>956873.68</v>
      </c>
      <c r="I7" s="234">
        <v>956873.68</v>
      </c>
      <c r="J7" s="234">
        <v>956873.68</v>
      </c>
      <c r="K7" s="234">
        <v>7367.22</v>
      </c>
      <c r="L7" s="234">
        <v>15234.57</v>
      </c>
      <c r="M7" s="234">
        <v>0</v>
      </c>
    </row>
    <row r="8" spans="1:13">
      <c r="A8" s="234" t="s">
        <v>417</v>
      </c>
      <c r="B8" s="234" t="s">
        <v>416</v>
      </c>
      <c r="C8" s="234">
        <v>402684.81</v>
      </c>
      <c r="D8" s="234">
        <v>0</v>
      </c>
      <c r="E8" s="234">
        <v>400504.38</v>
      </c>
      <c r="F8" s="234">
        <v>400504.38</v>
      </c>
      <c r="G8" s="234">
        <v>387095.32</v>
      </c>
      <c r="H8" s="234">
        <v>387095.32</v>
      </c>
      <c r="I8" s="234">
        <v>387095.32</v>
      </c>
      <c r="J8" s="234">
        <v>387095.32</v>
      </c>
      <c r="K8" s="234">
        <v>2180.4299999999998</v>
      </c>
      <c r="L8" s="234">
        <v>13409.06</v>
      </c>
      <c r="M8" s="234">
        <v>0</v>
      </c>
    </row>
    <row r="9" spans="1:13">
      <c r="A9" s="234" t="s">
        <v>415</v>
      </c>
      <c r="B9" s="234" t="s">
        <v>414</v>
      </c>
      <c r="C9" s="234">
        <v>576790.66</v>
      </c>
      <c r="D9" s="234">
        <v>0</v>
      </c>
      <c r="E9" s="234">
        <v>571603.87</v>
      </c>
      <c r="F9" s="234">
        <v>571603.87</v>
      </c>
      <c r="G9" s="234">
        <v>569778.36</v>
      </c>
      <c r="H9" s="234">
        <v>569778.36</v>
      </c>
      <c r="I9" s="234">
        <v>569778.36</v>
      </c>
      <c r="J9" s="234">
        <v>569778.36</v>
      </c>
      <c r="K9" s="234">
        <v>5186.79</v>
      </c>
      <c r="L9" s="234">
        <v>1825.51</v>
      </c>
      <c r="M9" s="234">
        <v>0</v>
      </c>
    </row>
    <row r="10" spans="1:13">
      <c r="A10" s="234" t="s">
        <v>413</v>
      </c>
      <c r="B10" s="234" t="s">
        <v>412</v>
      </c>
      <c r="C10" s="234">
        <v>2489882.81</v>
      </c>
      <c r="D10" s="234">
        <v>0</v>
      </c>
      <c r="E10" s="234">
        <v>2199245.65</v>
      </c>
      <c r="F10" s="234">
        <v>2199245.65</v>
      </c>
      <c r="G10" s="234">
        <v>1936818.69</v>
      </c>
      <c r="H10" s="234">
        <v>1936818.69</v>
      </c>
      <c r="I10" s="234">
        <v>1934166.31</v>
      </c>
      <c r="J10" s="234">
        <v>1934166.31</v>
      </c>
      <c r="K10" s="234">
        <v>290637.15999999997</v>
      </c>
      <c r="L10" s="234">
        <v>262426.96000000002</v>
      </c>
      <c r="M10" s="234">
        <v>2652.38</v>
      </c>
    </row>
    <row r="11" spans="1:13">
      <c r="A11" s="234" t="s">
        <v>411</v>
      </c>
      <c r="B11" s="234" t="s">
        <v>410</v>
      </c>
      <c r="C11" s="234">
        <v>1457932.16</v>
      </c>
      <c r="D11" s="234">
        <v>0</v>
      </c>
      <c r="E11" s="234">
        <v>1393012.78</v>
      </c>
      <c r="F11" s="234">
        <v>1393012.78</v>
      </c>
      <c r="G11" s="234">
        <v>1305671.82</v>
      </c>
      <c r="H11" s="234">
        <v>1305671.82</v>
      </c>
      <c r="I11" s="234">
        <v>1303019.44</v>
      </c>
      <c r="J11" s="234">
        <v>1303019.44</v>
      </c>
      <c r="K11" s="234">
        <v>64919.38</v>
      </c>
      <c r="L11" s="234">
        <v>87340.96</v>
      </c>
      <c r="M11" s="234">
        <v>2652.38</v>
      </c>
    </row>
    <row r="12" spans="1:13">
      <c r="A12" s="234" t="s">
        <v>409</v>
      </c>
      <c r="B12" s="234" t="s">
        <v>408</v>
      </c>
      <c r="C12" s="234">
        <v>34381.18</v>
      </c>
      <c r="D12" s="234">
        <v>0</v>
      </c>
      <c r="E12" s="234">
        <v>34381.18</v>
      </c>
      <c r="F12" s="234">
        <v>34381.18</v>
      </c>
      <c r="G12" s="234">
        <v>34381.18</v>
      </c>
      <c r="H12" s="234">
        <v>34381.18</v>
      </c>
      <c r="I12" s="234">
        <v>34381.18</v>
      </c>
      <c r="J12" s="234">
        <v>34381.18</v>
      </c>
      <c r="K12" s="234">
        <v>0</v>
      </c>
      <c r="L12" s="234">
        <v>0</v>
      </c>
      <c r="M12" s="234">
        <v>0</v>
      </c>
    </row>
    <row r="13" spans="1:13">
      <c r="A13" s="234" t="s">
        <v>407</v>
      </c>
      <c r="B13" s="234" t="s">
        <v>406</v>
      </c>
      <c r="C13" s="234">
        <v>46200</v>
      </c>
      <c r="D13" s="234">
        <v>0</v>
      </c>
      <c r="E13" s="234">
        <v>33915.629999999997</v>
      </c>
      <c r="F13" s="234">
        <v>33915.629999999997</v>
      </c>
      <c r="G13" s="234">
        <v>33915.629999999997</v>
      </c>
      <c r="H13" s="234">
        <v>33915.629999999997</v>
      </c>
      <c r="I13" s="234">
        <v>33915.629999999997</v>
      </c>
      <c r="J13" s="234">
        <v>33915.629999999997</v>
      </c>
      <c r="K13" s="234">
        <v>12284.37</v>
      </c>
      <c r="L13" s="234">
        <v>0</v>
      </c>
      <c r="M13" s="234">
        <v>0</v>
      </c>
    </row>
    <row r="14" spans="1:13">
      <c r="A14" s="234" t="s">
        <v>405</v>
      </c>
      <c r="B14" s="234" t="s">
        <v>404</v>
      </c>
      <c r="C14" s="234">
        <v>68762.350000000006</v>
      </c>
      <c r="D14" s="234">
        <v>0</v>
      </c>
      <c r="E14" s="234">
        <v>65450</v>
      </c>
      <c r="F14" s="234">
        <v>65450</v>
      </c>
      <c r="G14" s="234">
        <v>0</v>
      </c>
      <c r="H14" s="234">
        <v>0</v>
      </c>
      <c r="I14" s="234">
        <v>0</v>
      </c>
      <c r="J14" s="234">
        <v>0</v>
      </c>
      <c r="K14" s="234">
        <v>3312.35</v>
      </c>
      <c r="L14" s="234">
        <v>65450</v>
      </c>
      <c r="M14" s="234">
        <v>0</v>
      </c>
    </row>
    <row r="15" spans="1:13">
      <c r="A15" s="234" t="s">
        <v>403</v>
      </c>
      <c r="B15" s="234" t="s">
        <v>402</v>
      </c>
      <c r="C15" s="234">
        <v>215000</v>
      </c>
      <c r="D15" s="234">
        <v>0</v>
      </c>
      <c r="E15" s="234">
        <v>11880</v>
      </c>
      <c r="F15" s="234">
        <v>11880</v>
      </c>
      <c r="G15" s="234">
        <v>0</v>
      </c>
      <c r="H15" s="234">
        <v>0</v>
      </c>
      <c r="I15" s="234">
        <v>0</v>
      </c>
      <c r="J15" s="234">
        <v>0</v>
      </c>
      <c r="K15" s="234">
        <v>203120</v>
      </c>
      <c r="L15" s="234">
        <v>11880</v>
      </c>
      <c r="M15" s="234">
        <v>0</v>
      </c>
    </row>
    <row r="16" spans="1:13">
      <c r="A16" s="234" t="s">
        <v>401</v>
      </c>
      <c r="B16" s="234" t="s">
        <v>359</v>
      </c>
      <c r="C16" s="234">
        <v>617607.12</v>
      </c>
      <c r="D16" s="234">
        <v>0</v>
      </c>
      <c r="E16" s="234">
        <v>610606.06000000006</v>
      </c>
      <c r="F16" s="234">
        <v>610606.06000000006</v>
      </c>
      <c r="G16" s="234">
        <v>512850.06</v>
      </c>
      <c r="H16" s="234">
        <v>512850.06</v>
      </c>
      <c r="I16" s="234">
        <v>512850.06</v>
      </c>
      <c r="J16" s="234">
        <v>512850.06</v>
      </c>
      <c r="K16" s="234">
        <v>7001.06</v>
      </c>
      <c r="L16" s="234">
        <v>97756</v>
      </c>
      <c r="M16" s="234">
        <v>0</v>
      </c>
    </row>
    <row r="17" spans="1:13">
      <c r="A17" s="234" t="s">
        <v>400</v>
      </c>
      <c r="B17" s="234" t="s">
        <v>399</v>
      </c>
      <c r="C17" s="234">
        <v>50000</v>
      </c>
      <c r="D17" s="234">
        <v>0</v>
      </c>
      <c r="E17" s="234">
        <v>50000</v>
      </c>
      <c r="F17" s="234">
        <v>50000</v>
      </c>
      <c r="G17" s="234">
        <v>50000</v>
      </c>
      <c r="H17" s="234">
        <v>50000</v>
      </c>
      <c r="I17" s="234">
        <v>50000</v>
      </c>
      <c r="J17" s="234">
        <v>50000</v>
      </c>
      <c r="K17" s="234">
        <v>0</v>
      </c>
      <c r="L17" s="234">
        <v>0</v>
      </c>
      <c r="M17" s="234">
        <v>0</v>
      </c>
    </row>
    <row r="18" spans="1:13">
      <c r="A18" s="234" t="s">
        <v>398</v>
      </c>
      <c r="B18" s="234" t="s">
        <v>397</v>
      </c>
      <c r="C18" s="234">
        <v>79245.399999999994</v>
      </c>
      <c r="D18" s="234">
        <v>0</v>
      </c>
      <c r="E18" s="234">
        <v>75501.399999999994</v>
      </c>
      <c r="F18" s="234">
        <v>75501.399999999994</v>
      </c>
      <c r="G18" s="234">
        <v>75501.399999999994</v>
      </c>
      <c r="H18" s="234">
        <v>75501.399999999994</v>
      </c>
      <c r="I18" s="234">
        <v>75501.399999999994</v>
      </c>
      <c r="J18" s="234">
        <v>75501.399999999994</v>
      </c>
      <c r="K18" s="234">
        <v>3744</v>
      </c>
      <c r="L18" s="234">
        <v>0</v>
      </c>
      <c r="M18" s="234">
        <v>0</v>
      </c>
    </row>
    <row r="19" spans="1:13">
      <c r="A19" s="234" t="s">
        <v>396</v>
      </c>
      <c r="B19" s="234" t="s">
        <v>395</v>
      </c>
      <c r="C19" s="234">
        <v>75501.399999999994</v>
      </c>
      <c r="D19" s="234">
        <v>0</v>
      </c>
      <c r="E19" s="234">
        <v>75501.399999999994</v>
      </c>
      <c r="F19" s="234">
        <v>75501.399999999994</v>
      </c>
      <c r="G19" s="234">
        <v>75501.399999999994</v>
      </c>
      <c r="H19" s="234">
        <v>75501.399999999994</v>
      </c>
      <c r="I19" s="234">
        <v>75501.399999999994</v>
      </c>
      <c r="J19" s="234">
        <v>75501.399999999994</v>
      </c>
      <c r="K19" s="234">
        <v>0</v>
      </c>
      <c r="L19" s="234">
        <v>0</v>
      </c>
      <c r="M19" s="234">
        <v>0</v>
      </c>
    </row>
    <row r="20" spans="1:13">
      <c r="A20" s="234" t="s">
        <v>394</v>
      </c>
      <c r="B20" s="234" t="s">
        <v>393</v>
      </c>
      <c r="C20" s="234">
        <v>3744</v>
      </c>
      <c r="D20" s="234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3744</v>
      </c>
      <c r="L20" s="234">
        <v>0</v>
      </c>
      <c r="M20" s="234">
        <v>0</v>
      </c>
    </row>
    <row r="21" spans="1:13">
      <c r="A21" s="234" t="s">
        <v>392</v>
      </c>
      <c r="B21" s="234" t="s">
        <v>391</v>
      </c>
      <c r="C21" s="234">
        <v>272480.13</v>
      </c>
      <c r="D21" s="234">
        <v>0</v>
      </c>
      <c r="E21" s="234">
        <v>272480.12</v>
      </c>
      <c r="F21" s="234">
        <v>272480.12</v>
      </c>
      <c r="G21" s="234">
        <v>272480.12</v>
      </c>
      <c r="H21" s="234">
        <v>272480.12</v>
      </c>
      <c r="I21" s="234">
        <v>272480.12</v>
      </c>
      <c r="J21" s="234">
        <v>272480.12</v>
      </c>
      <c r="K21" s="234">
        <v>0.01</v>
      </c>
      <c r="L21" s="234">
        <v>0</v>
      </c>
      <c r="M21" s="234">
        <v>0</v>
      </c>
    </row>
    <row r="22" spans="1:13">
      <c r="A22" s="234" t="s">
        <v>390</v>
      </c>
      <c r="B22" s="234" t="s">
        <v>389</v>
      </c>
      <c r="C22" s="234">
        <v>234082.61</v>
      </c>
      <c r="D22" s="234">
        <v>0</v>
      </c>
      <c r="E22" s="234">
        <v>234082.61</v>
      </c>
      <c r="F22" s="234">
        <v>234082.61</v>
      </c>
      <c r="G22" s="234">
        <v>234082.61</v>
      </c>
      <c r="H22" s="234">
        <v>234082.61</v>
      </c>
      <c r="I22" s="234">
        <v>234082.61</v>
      </c>
      <c r="J22" s="234">
        <v>234082.61</v>
      </c>
      <c r="K22" s="234">
        <v>0</v>
      </c>
      <c r="L22" s="234">
        <v>0</v>
      </c>
      <c r="M22" s="234">
        <v>0</v>
      </c>
    </row>
    <row r="23" spans="1:13">
      <c r="A23" s="234" t="s">
        <v>388</v>
      </c>
      <c r="B23" s="234" t="s">
        <v>364</v>
      </c>
      <c r="C23" s="234">
        <v>38397.519999999997</v>
      </c>
      <c r="D23" s="234">
        <v>0</v>
      </c>
      <c r="E23" s="234">
        <v>38397.51</v>
      </c>
      <c r="F23" s="234">
        <v>38397.51</v>
      </c>
      <c r="G23" s="234">
        <v>38397.51</v>
      </c>
      <c r="H23" s="234">
        <v>38397.51</v>
      </c>
      <c r="I23" s="234">
        <v>38397.51</v>
      </c>
      <c r="J23" s="234">
        <v>38397.51</v>
      </c>
      <c r="K23" s="234">
        <v>0.01</v>
      </c>
      <c r="L23" s="234">
        <v>0</v>
      </c>
      <c r="M23" s="234">
        <v>0</v>
      </c>
    </row>
    <row r="24" spans="1:13">
      <c r="A24" s="234" t="s">
        <v>386</v>
      </c>
      <c r="B24" s="234" t="s">
        <v>387</v>
      </c>
      <c r="C24" s="234">
        <v>3997383.92</v>
      </c>
      <c r="D24" s="234">
        <v>0</v>
      </c>
      <c r="E24" s="234">
        <v>3644553.49</v>
      </c>
      <c r="F24" s="234">
        <v>3644553.49</v>
      </c>
      <c r="G24" s="234">
        <v>3366891.96</v>
      </c>
      <c r="H24" s="234">
        <v>3366891.96</v>
      </c>
      <c r="I24" s="234">
        <v>3364239.58</v>
      </c>
      <c r="J24" s="234">
        <v>3364239.58</v>
      </c>
      <c r="K24" s="234">
        <v>352830.43</v>
      </c>
      <c r="L24" s="234">
        <v>277661.53000000003</v>
      </c>
      <c r="M24" s="234">
        <v>2652.38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4"/>
  <sheetViews>
    <sheetView showGridLines="0" topLeftCell="A13" workbookViewId="0">
      <selection activeCell="B52" sqref="B52"/>
    </sheetView>
  </sheetViews>
  <sheetFormatPr defaultRowHeight="15"/>
  <cols>
    <col min="1" max="1" width="20.7109375" style="1" customWidth="1"/>
    <col min="2" max="2" width="13.28515625" style="1" customWidth="1"/>
    <col min="3" max="3" width="9.5703125" style="1" customWidth="1"/>
    <col min="4" max="4" width="3.85546875" style="1" customWidth="1"/>
    <col min="5" max="5" width="13.28515625" style="1" customWidth="1"/>
    <col min="6" max="7" width="13.42578125" style="1" hidden="1" customWidth="1"/>
    <col min="8" max="8" width="13.28515625" style="1" hidden="1" customWidth="1"/>
    <col min="9" max="9" width="13.42578125" style="1" hidden="1" customWidth="1"/>
    <col min="10" max="10" width="3.140625" style="1" hidden="1" customWidth="1"/>
    <col min="11" max="11" width="10.28515625" style="1" hidden="1" customWidth="1"/>
    <col min="12" max="12" width="2.140625" style="1" hidden="1" customWidth="1"/>
    <col min="13" max="13" width="11.140625" style="1" hidden="1" customWidth="1"/>
    <col min="14" max="14" width="13.42578125" style="1" hidden="1" customWidth="1"/>
    <col min="15" max="15" width="0.42578125" style="1" customWidth="1"/>
    <col min="16" max="16" width="11.7109375" style="1" bestFit="1" customWidth="1"/>
    <col min="17" max="256" width="9.140625" style="1"/>
    <col min="257" max="257" width="20.7109375" style="1" customWidth="1"/>
    <col min="258" max="258" width="13.28515625" style="1" customWidth="1"/>
    <col min="259" max="259" width="9.5703125" style="1" customWidth="1"/>
    <col min="260" max="260" width="3.85546875" style="1" customWidth="1"/>
    <col min="261" max="261" width="13.28515625" style="1" customWidth="1"/>
    <col min="262" max="270" width="0" style="1" hidden="1" customWidth="1"/>
    <col min="271" max="271" width="0.42578125" style="1" customWidth="1"/>
    <col min="272" max="512" width="9.140625" style="1"/>
    <col min="513" max="513" width="20.7109375" style="1" customWidth="1"/>
    <col min="514" max="514" width="13.28515625" style="1" customWidth="1"/>
    <col min="515" max="515" width="9.5703125" style="1" customWidth="1"/>
    <col min="516" max="516" width="3.85546875" style="1" customWidth="1"/>
    <col min="517" max="517" width="13.28515625" style="1" customWidth="1"/>
    <col min="518" max="526" width="0" style="1" hidden="1" customWidth="1"/>
    <col min="527" max="527" width="0.42578125" style="1" customWidth="1"/>
    <col min="528" max="768" width="9.140625" style="1"/>
    <col min="769" max="769" width="20.7109375" style="1" customWidth="1"/>
    <col min="770" max="770" width="13.28515625" style="1" customWidth="1"/>
    <col min="771" max="771" width="9.5703125" style="1" customWidth="1"/>
    <col min="772" max="772" width="3.85546875" style="1" customWidth="1"/>
    <col min="773" max="773" width="13.28515625" style="1" customWidth="1"/>
    <col min="774" max="782" width="0" style="1" hidden="1" customWidth="1"/>
    <col min="783" max="783" width="0.42578125" style="1" customWidth="1"/>
    <col min="784" max="1024" width="9.140625" style="1"/>
    <col min="1025" max="1025" width="20.7109375" style="1" customWidth="1"/>
    <col min="1026" max="1026" width="13.28515625" style="1" customWidth="1"/>
    <col min="1027" max="1027" width="9.5703125" style="1" customWidth="1"/>
    <col min="1028" max="1028" width="3.85546875" style="1" customWidth="1"/>
    <col min="1029" max="1029" width="13.28515625" style="1" customWidth="1"/>
    <col min="1030" max="1038" width="0" style="1" hidden="1" customWidth="1"/>
    <col min="1039" max="1039" width="0.42578125" style="1" customWidth="1"/>
    <col min="1040" max="1280" width="9.140625" style="1"/>
    <col min="1281" max="1281" width="20.7109375" style="1" customWidth="1"/>
    <col min="1282" max="1282" width="13.28515625" style="1" customWidth="1"/>
    <col min="1283" max="1283" width="9.5703125" style="1" customWidth="1"/>
    <col min="1284" max="1284" width="3.85546875" style="1" customWidth="1"/>
    <col min="1285" max="1285" width="13.28515625" style="1" customWidth="1"/>
    <col min="1286" max="1294" width="0" style="1" hidden="1" customWidth="1"/>
    <col min="1295" max="1295" width="0.42578125" style="1" customWidth="1"/>
    <col min="1296" max="1536" width="9.140625" style="1"/>
    <col min="1537" max="1537" width="20.7109375" style="1" customWidth="1"/>
    <col min="1538" max="1538" width="13.28515625" style="1" customWidth="1"/>
    <col min="1539" max="1539" width="9.5703125" style="1" customWidth="1"/>
    <col min="1540" max="1540" width="3.85546875" style="1" customWidth="1"/>
    <col min="1541" max="1541" width="13.28515625" style="1" customWidth="1"/>
    <col min="1542" max="1550" width="0" style="1" hidden="1" customWidth="1"/>
    <col min="1551" max="1551" width="0.42578125" style="1" customWidth="1"/>
    <col min="1552" max="1792" width="9.140625" style="1"/>
    <col min="1793" max="1793" width="20.7109375" style="1" customWidth="1"/>
    <col min="1794" max="1794" width="13.28515625" style="1" customWidth="1"/>
    <col min="1795" max="1795" width="9.5703125" style="1" customWidth="1"/>
    <col min="1796" max="1796" width="3.85546875" style="1" customWidth="1"/>
    <col min="1797" max="1797" width="13.28515625" style="1" customWidth="1"/>
    <col min="1798" max="1806" width="0" style="1" hidden="1" customWidth="1"/>
    <col min="1807" max="1807" width="0.42578125" style="1" customWidth="1"/>
    <col min="1808" max="2048" width="9.140625" style="1"/>
    <col min="2049" max="2049" width="20.7109375" style="1" customWidth="1"/>
    <col min="2050" max="2050" width="13.28515625" style="1" customWidth="1"/>
    <col min="2051" max="2051" width="9.5703125" style="1" customWidth="1"/>
    <col min="2052" max="2052" width="3.85546875" style="1" customWidth="1"/>
    <col min="2053" max="2053" width="13.28515625" style="1" customWidth="1"/>
    <col min="2054" max="2062" width="0" style="1" hidden="1" customWidth="1"/>
    <col min="2063" max="2063" width="0.42578125" style="1" customWidth="1"/>
    <col min="2064" max="2304" width="9.140625" style="1"/>
    <col min="2305" max="2305" width="20.7109375" style="1" customWidth="1"/>
    <col min="2306" max="2306" width="13.28515625" style="1" customWidth="1"/>
    <col min="2307" max="2307" width="9.5703125" style="1" customWidth="1"/>
    <col min="2308" max="2308" width="3.85546875" style="1" customWidth="1"/>
    <col min="2309" max="2309" width="13.28515625" style="1" customWidth="1"/>
    <col min="2310" max="2318" width="0" style="1" hidden="1" customWidth="1"/>
    <col min="2319" max="2319" width="0.42578125" style="1" customWidth="1"/>
    <col min="2320" max="2560" width="9.140625" style="1"/>
    <col min="2561" max="2561" width="20.7109375" style="1" customWidth="1"/>
    <col min="2562" max="2562" width="13.28515625" style="1" customWidth="1"/>
    <col min="2563" max="2563" width="9.5703125" style="1" customWidth="1"/>
    <col min="2564" max="2564" width="3.85546875" style="1" customWidth="1"/>
    <col min="2565" max="2565" width="13.28515625" style="1" customWidth="1"/>
    <col min="2566" max="2574" width="0" style="1" hidden="1" customWidth="1"/>
    <col min="2575" max="2575" width="0.42578125" style="1" customWidth="1"/>
    <col min="2576" max="2816" width="9.140625" style="1"/>
    <col min="2817" max="2817" width="20.7109375" style="1" customWidth="1"/>
    <col min="2818" max="2818" width="13.28515625" style="1" customWidth="1"/>
    <col min="2819" max="2819" width="9.5703125" style="1" customWidth="1"/>
    <col min="2820" max="2820" width="3.85546875" style="1" customWidth="1"/>
    <col min="2821" max="2821" width="13.28515625" style="1" customWidth="1"/>
    <col min="2822" max="2830" width="0" style="1" hidden="1" customWidth="1"/>
    <col min="2831" max="2831" width="0.42578125" style="1" customWidth="1"/>
    <col min="2832" max="3072" width="9.140625" style="1"/>
    <col min="3073" max="3073" width="20.7109375" style="1" customWidth="1"/>
    <col min="3074" max="3074" width="13.28515625" style="1" customWidth="1"/>
    <col min="3075" max="3075" width="9.5703125" style="1" customWidth="1"/>
    <col min="3076" max="3076" width="3.85546875" style="1" customWidth="1"/>
    <col min="3077" max="3077" width="13.28515625" style="1" customWidth="1"/>
    <col min="3078" max="3086" width="0" style="1" hidden="1" customWidth="1"/>
    <col min="3087" max="3087" width="0.42578125" style="1" customWidth="1"/>
    <col min="3088" max="3328" width="9.140625" style="1"/>
    <col min="3329" max="3329" width="20.7109375" style="1" customWidth="1"/>
    <col min="3330" max="3330" width="13.28515625" style="1" customWidth="1"/>
    <col min="3331" max="3331" width="9.5703125" style="1" customWidth="1"/>
    <col min="3332" max="3332" width="3.85546875" style="1" customWidth="1"/>
    <col min="3333" max="3333" width="13.28515625" style="1" customWidth="1"/>
    <col min="3334" max="3342" width="0" style="1" hidden="1" customWidth="1"/>
    <col min="3343" max="3343" width="0.42578125" style="1" customWidth="1"/>
    <col min="3344" max="3584" width="9.140625" style="1"/>
    <col min="3585" max="3585" width="20.7109375" style="1" customWidth="1"/>
    <col min="3586" max="3586" width="13.28515625" style="1" customWidth="1"/>
    <col min="3587" max="3587" width="9.5703125" style="1" customWidth="1"/>
    <col min="3588" max="3588" width="3.85546875" style="1" customWidth="1"/>
    <col min="3589" max="3589" width="13.28515625" style="1" customWidth="1"/>
    <col min="3590" max="3598" width="0" style="1" hidden="1" customWidth="1"/>
    <col min="3599" max="3599" width="0.42578125" style="1" customWidth="1"/>
    <col min="3600" max="3840" width="9.140625" style="1"/>
    <col min="3841" max="3841" width="20.7109375" style="1" customWidth="1"/>
    <col min="3842" max="3842" width="13.28515625" style="1" customWidth="1"/>
    <col min="3843" max="3843" width="9.5703125" style="1" customWidth="1"/>
    <col min="3844" max="3844" width="3.85546875" style="1" customWidth="1"/>
    <col min="3845" max="3845" width="13.28515625" style="1" customWidth="1"/>
    <col min="3846" max="3854" width="0" style="1" hidden="1" customWidth="1"/>
    <col min="3855" max="3855" width="0.42578125" style="1" customWidth="1"/>
    <col min="3856" max="4096" width="9.140625" style="1"/>
    <col min="4097" max="4097" width="20.7109375" style="1" customWidth="1"/>
    <col min="4098" max="4098" width="13.28515625" style="1" customWidth="1"/>
    <col min="4099" max="4099" width="9.5703125" style="1" customWidth="1"/>
    <col min="4100" max="4100" width="3.85546875" style="1" customWidth="1"/>
    <col min="4101" max="4101" width="13.28515625" style="1" customWidth="1"/>
    <col min="4102" max="4110" width="0" style="1" hidden="1" customWidth="1"/>
    <col min="4111" max="4111" width="0.42578125" style="1" customWidth="1"/>
    <col min="4112" max="4352" width="9.140625" style="1"/>
    <col min="4353" max="4353" width="20.7109375" style="1" customWidth="1"/>
    <col min="4354" max="4354" width="13.28515625" style="1" customWidth="1"/>
    <col min="4355" max="4355" width="9.5703125" style="1" customWidth="1"/>
    <col min="4356" max="4356" width="3.85546875" style="1" customWidth="1"/>
    <col min="4357" max="4357" width="13.28515625" style="1" customWidth="1"/>
    <col min="4358" max="4366" width="0" style="1" hidden="1" customWidth="1"/>
    <col min="4367" max="4367" width="0.42578125" style="1" customWidth="1"/>
    <col min="4368" max="4608" width="9.140625" style="1"/>
    <col min="4609" max="4609" width="20.7109375" style="1" customWidth="1"/>
    <col min="4610" max="4610" width="13.28515625" style="1" customWidth="1"/>
    <col min="4611" max="4611" width="9.5703125" style="1" customWidth="1"/>
    <col min="4612" max="4612" width="3.85546875" style="1" customWidth="1"/>
    <col min="4613" max="4613" width="13.28515625" style="1" customWidth="1"/>
    <col min="4614" max="4622" width="0" style="1" hidden="1" customWidth="1"/>
    <col min="4623" max="4623" width="0.42578125" style="1" customWidth="1"/>
    <col min="4624" max="4864" width="9.140625" style="1"/>
    <col min="4865" max="4865" width="20.7109375" style="1" customWidth="1"/>
    <col min="4866" max="4866" width="13.28515625" style="1" customWidth="1"/>
    <col min="4867" max="4867" width="9.5703125" style="1" customWidth="1"/>
    <col min="4868" max="4868" width="3.85546875" style="1" customWidth="1"/>
    <col min="4869" max="4869" width="13.28515625" style="1" customWidth="1"/>
    <col min="4870" max="4878" width="0" style="1" hidden="1" customWidth="1"/>
    <col min="4879" max="4879" width="0.42578125" style="1" customWidth="1"/>
    <col min="4880" max="5120" width="9.140625" style="1"/>
    <col min="5121" max="5121" width="20.7109375" style="1" customWidth="1"/>
    <col min="5122" max="5122" width="13.28515625" style="1" customWidth="1"/>
    <col min="5123" max="5123" width="9.5703125" style="1" customWidth="1"/>
    <col min="5124" max="5124" width="3.85546875" style="1" customWidth="1"/>
    <col min="5125" max="5125" width="13.28515625" style="1" customWidth="1"/>
    <col min="5126" max="5134" width="0" style="1" hidden="1" customWidth="1"/>
    <col min="5135" max="5135" width="0.42578125" style="1" customWidth="1"/>
    <col min="5136" max="5376" width="9.140625" style="1"/>
    <col min="5377" max="5377" width="20.7109375" style="1" customWidth="1"/>
    <col min="5378" max="5378" width="13.28515625" style="1" customWidth="1"/>
    <col min="5379" max="5379" width="9.5703125" style="1" customWidth="1"/>
    <col min="5380" max="5380" width="3.85546875" style="1" customWidth="1"/>
    <col min="5381" max="5381" width="13.28515625" style="1" customWidth="1"/>
    <col min="5382" max="5390" width="0" style="1" hidden="1" customWidth="1"/>
    <col min="5391" max="5391" width="0.42578125" style="1" customWidth="1"/>
    <col min="5392" max="5632" width="9.140625" style="1"/>
    <col min="5633" max="5633" width="20.7109375" style="1" customWidth="1"/>
    <col min="5634" max="5634" width="13.28515625" style="1" customWidth="1"/>
    <col min="5635" max="5635" width="9.5703125" style="1" customWidth="1"/>
    <col min="5636" max="5636" width="3.85546875" style="1" customWidth="1"/>
    <col min="5637" max="5637" width="13.28515625" style="1" customWidth="1"/>
    <col min="5638" max="5646" width="0" style="1" hidden="1" customWidth="1"/>
    <col min="5647" max="5647" width="0.42578125" style="1" customWidth="1"/>
    <col min="5648" max="5888" width="9.140625" style="1"/>
    <col min="5889" max="5889" width="20.7109375" style="1" customWidth="1"/>
    <col min="5890" max="5890" width="13.28515625" style="1" customWidth="1"/>
    <col min="5891" max="5891" width="9.5703125" style="1" customWidth="1"/>
    <col min="5892" max="5892" width="3.85546875" style="1" customWidth="1"/>
    <col min="5893" max="5893" width="13.28515625" style="1" customWidth="1"/>
    <col min="5894" max="5902" width="0" style="1" hidden="1" customWidth="1"/>
    <col min="5903" max="5903" width="0.42578125" style="1" customWidth="1"/>
    <col min="5904" max="6144" width="9.140625" style="1"/>
    <col min="6145" max="6145" width="20.7109375" style="1" customWidth="1"/>
    <col min="6146" max="6146" width="13.28515625" style="1" customWidth="1"/>
    <col min="6147" max="6147" width="9.5703125" style="1" customWidth="1"/>
    <col min="6148" max="6148" width="3.85546875" style="1" customWidth="1"/>
    <col min="6149" max="6149" width="13.28515625" style="1" customWidth="1"/>
    <col min="6150" max="6158" width="0" style="1" hidden="1" customWidth="1"/>
    <col min="6159" max="6159" width="0.42578125" style="1" customWidth="1"/>
    <col min="6160" max="6400" width="9.140625" style="1"/>
    <col min="6401" max="6401" width="20.7109375" style="1" customWidth="1"/>
    <col min="6402" max="6402" width="13.28515625" style="1" customWidth="1"/>
    <col min="6403" max="6403" width="9.5703125" style="1" customWidth="1"/>
    <col min="6404" max="6404" width="3.85546875" style="1" customWidth="1"/>
    <col min="6405" max="6405" width="13.28515625" style="1" customWidth="1"/>
    <col min="6406" max="6414" width="0" style="1" hidden="1" customWidth="1"/>
    <col min="6415" max="6415" width="0.42578125" style="1" customWidth="1"/>
    <col min="6416" max="6656" width="9.140625" style="1"/>
    <col min="6657" max="6657" width="20.7109375" style="1" customWidth="1"/>
    <col min="6658" max="6658" width="13.28515625" style="1" customWidth="1"/>
    <col min="6659" max="6659" width="9.5703125" style="1" customWidth="1"/>
    <col min="6660" max="6660" width="3.85546875" style="1" customWidth="1"/>
    <col min="6661" max="6661" width="13.28515625" style="1" customWidth="1"/>
    <col min="6662" max="6670" width="0" style="1" hidden="1" customWidth="1"/>
    <col min="6671" max="6671" width="0.42578125" style="1" customWidth="1"/>
    <col min="6672" max="6912" width="9.140625" style="1"/>
    <col min="6913" max="6913" width="20.7109375" style="1" customWidth="1"/>
    <col min="6914" max="6914" width="13.28515625" style="1" customWidth="1"/>
    <col min="6915" max="6915" width="9.5703125" style="1" customWidth="1"/>
    <col min="6916" max="6916" width="3.85546875" style="1" customWidth="1"/>
    <col min="6917" max="6917" width="13.28515625" style="1" customWidth="1"/>
    <col min="6918" max="6926" width="0" style="1" hidden="1" customWidth="1"/>
    <col min="6927" max="6927" width="0.42578125" style="1" customWidth="1"/>
    <col min="6928" max="7168" width="9.140625" style="1"/>
    <col min="7169" max="7169" width="20.7109375" style="1" customWidth="1"/>
    <col min="7170" max="7170" width="13.28515625" style="1" customWidth="1"/>
    <col min="7171" max="7171" width="9.5703125" style="1" customWidth="1"/>
    <col min="7172" max="7172" width="3.85546875" style="1" customWidth="1"/>
    <col min="7173" max="7173" width="13.28515625" style="1" customWidth="1"/>
    <col min="7174" max="7182" width="0" style="1" hidden="1" customWidth="1"/>
    <col min="7183" max="7183" width="0.42578125" style="1" customWidth="1"/>
    <col min="7184" max="7424" width="9.140625" style="1"/>
    <col min="7425" max="7425" width="20.7109375" style="1" customWidth="1"/>
    <col min="7426" max="7426" width="13.28515625" style="1" customWidth="1"/>
    <col min="7427" max="7427" width="9.5703125" style="1" customWidth="1"/>
    <col min="7428" max="7428" width="3.85546875" style="1" customWidth="1"/>
    <col min="7429" max="7429" width="13.28515625" style="1" customWidth="1"/>
    <col min="7430" max="7438" width="0" style="1" hidden="1" customWidth="1"/>
    <col min="7439" max="7439" width="0.42578125" style="1" customWidth="1"/>
    <col min="7440" max="7680" width="9.140625" style="1"/>
    <col min="7681" max="7681" width="20.7109375" style="1" customWidth="1"/>
    <col min="7682" max="7682" width="13.28515625" style="1" customWidth="1"/>
    <col min="7683" max="7683" width="9.5703125" style="1" customWidth="1"/>
    <col min="7684" max="7684" width="3.85546875" style="1" customWidth="1"/>
    <col min="7685" max="7685" width="13.28515625" style="1" customWidth="1"/>
    <col min="7686" max="7694" width="0" style="1" hidden="1" customWidth="1"/>
    <col min="7695" max="7695" width="0.42578125" style="1" customWidth="1"/>
    <col min="7696" max="7936" width="9.140625" style="1"/>
    <col min="7937" max="7937" width="20.7109375" style="1" customWidth="1"/>
    <col min="7938" max="7938" width="13.28515625" style="1" customWidth="1"/>
    <col min="7939" max="7939" width="9.5703125" style="1" customWidth="1"/>
    <col min="7940" max="7940" width="3.85546875" style="1" customWidth="1"/>
    <col min="7941" max="7941" width="13.28515625" style="1" customWidth="1"/>
    <col min="7942" max="7950" width="0" style="1" hidden="1" customWidth="1"/>
    <col min="7951" max="7951" width="0.42578125" style="1" customWidth="1"/>
    <col min="7952" max="8192" width="9.140625" style="1"/>
    <col min="8193" max="8193" width="20.7109375" style="1" customWidth="1"/>
    <col min="8194" max="8194" width="13.28515625" style="1" customWidth="1"/>
    <col min="8195" max="8195" width="9.5703125" style="1" customWidth="1"/>
    <col min="8196" max="8196" width="3.85546875" style="1" customWidth="1"/>
    <col min="8197" max="8197" width="13.28515625" style="1" customWidth="1"/>
    <col min="8198" max="8206" width="0" style="1" hidden="1" customWidth="1"/>
    <col min="8207" max="8207" width="0.42578125" style="1" customWidth="1"/>
    <col min="8208" max="8448" width="9.140625" style="1"/>
    <col min="8449" max="8449" width="20.7109375" style="1" customWidth="1"/>
    <col min="8450" max="8450" width="13.28515625" style="1" customWidth="1"/>
    <col min="8451" max="8451" width="9.5703125" style="1" customWidth="1"/>
    <col min="8452" max="8452" width="3.85546875" style="1" customWidth="1"/>
    <col min="8453" max="8453" width="13.28515625" style="1" customWidth="1"/>
    <col min="8454" max="8462" width="0" style="1" hidden="1" customWidth="1"/>
    <col min="8463" max="8463" width="0.42578125" style="1" customWidth="1"/>
    <col min="8464" max="8704" width="9.140625" style="1"/>
    <col min="8705" max="8705" width="20.7109375" style="1" customWidth="1"/>
    <col min="8706" max="8706" width="13.28515625" style="1" customWidth="1"/>
    <col min="8707" max="8707" width="9.5703125" style="1" customWidth="1"/>
    <col min="8708" max="8708" width="3.85546875" style="1" customWidth="1"/>
    <col min="8709" max="8709" width="13.28515625" style="1" customWidth="1"/>
    <col min="8710" max="8718" width="0" style="1" hidden="1" customWidth="1"/>
    <col min="8719" max="8719" width="0.42578125" style="1" customWidth="1"/>
    <col min="8720" max="8960" width="9.140625" style="1"/>
    <col min="8961" max="8961" width="20.7109375" style="1" customWidth="1"/>
    <col min="8962" max="8962" width="13.28515625" style="1" customWidth="1"/>
    <col min="8963" max="8963" width="9.5703125" style="1" customWidth="1"/>
    <col min="8964" max="8964" width="3.85546875" style="1" customWidth="1"/>
    <col min="8965" max="8965" width="13.28515625" style="1" customWidth="1"/>
    <col min="8966" max="8974" width="0" style="1" hidden="1" customWidth="1"/>
    <col min="8975" max="8975" width="0.42578125" style="1" customWidth="1"/>
    <col min="8976" max="9216" width="9.140625" style="1"/>
    <col min="9217" max="9217" width="20.7109375" style="1" customWidth="1"/>
    <col min="9218" max="9218" width="13.28515625" style="1" customWidth="1"/>
    <col min="9219" max="9219" width="9.5703125" style="1" customWidth="1"/>
    <col min="9220" max="9220" width="3.85546875" style="1" customWidth="1"/>
    <col min="9221" max="9221" width="13.28515625" style="1" customWidth="1"/>
    <col min="9222" max="9230" width="0" style="1" hidden="1" customWidth="1"/>
    <col min="9231" max="9231" width="0.42578125" style="1" customWidth="1"/>
    <col min="9232" max="9472" width="9.140625" style="1"/>
    <col min="9473" max="9473" width="20.7109375" style="1" customWidth="1"/>
    <col min="9474" max="9474" width="13.28515625" style="1" customWidth="1"/>
    <col min="9475" max="9475" width="9.5703125" style="1" customWidth="1"/>
    <col min="9476" max="9476" width="3.85546875" style="1" customWidth="1"/>
    <col min="9477" max="9477" width="13.28515625" style="1" customWidth="1"/>
    <col min="9478" max="9486" width="0" style="1" hidden="1" customWidth="1"/>
    <col min="9487" max="9487" width="0.42578125" style="1" customWidth="1"/>
    <col min="9488" max="9728" width="9.140625" style="1"/>
    <col min="9729" max="9729" width="20.7109375" style="1" customWidth="1"/>
    <col min="9730" max="9730" width="13.28515625" style="1" customWidth="1"/>
    <col min="9731" max="9731" width="9.5703125" style="1" customWidth="1"/>
    <col min="9732" max="9732" width="3.85546875" style="1" customWidth="1"/>
    <col min="9733" max="9733" width="13.28515625" style="1" customWidth="1"/>
    <col min="9734" max="9742" width="0" style="1" hidden="1" customWidth="1"/>
    <col min="9743" max="9743" width="0.42578125" style="1" customWidth="1"/>
    <col min="9744" max="9984" width="9.140625" style="1"/>
    <col min="9985" max="9985" width="20.7109375" style="1" customWidth="1"/>
    <col min="9986" max="9986" width="13.28515625" style="1" customWidth="1"/>
    <col min="9987" max="9987" width="9.5703125" style="1" customWidth="1"/>
    <col min="9988" max="9988" width="3.85546875" style="1" customWidth="1"/>
    <col min="9989" max="9989" width="13.28515625" style="1" customWidth="1"/>
    <col min="9990" max="9998" width="0" style="1" hidden="1" customWidth="1"/>
    <col min="9999" max="9999" width="0.42578125" style="1" customWidth="1"/>
    <col min="10000" max="10240" width="9.140625" style="1"/>
    <col min="10241" max="10241" width="20.7109375" style="1" customWidth="1"/>
    <col min="10242" max="10242" width="13.28515625" style="1" customWidth="1"/>
    <col min="10243" max="10243" width="9.5703125" style="1" customWidth="1"/>
    <col min="10244" max="10244" width="3.85546875" style="1" customWidth="1"/>
    <col min="10245" max="10245" width="13.28515625" style="1" customWidth="1"/>
    <col min="10246" max="10254" width="0" style="1" hidden="1" customWidth="1"/>
    <col min="10255" max="10255" width="0.42578125" style="1" customWidth="1"/>
    <col min="10256" max="10496" width="9.140625" style="1"/>
    <col min="10497" max="10497" width="20.7109375" style="1" customWidth="1"/>
    <col min="10498" max="10498" width="13.28515625" style="1" customWidth="1"/>
    <col min="10499" max="10499" width="9.5703125" style="1" customWidth="1"/>
    <col min="10500" max="10500" width="3.85546875" style="1" customWidth="1"/>
    <col min="10501" max="10501" width="13.28515625" style="1" customWidth="1"/>
    <col min="10502" max="10510" width="0" style="1" hidden="1" customWidth="1"/>
    <col min="10511" max="10511" width="0.42578125" style="1" customWidth="1"/>
    <col min="10512" max="10752" width="9.140625" style="1"/>
    <col min="10753" max="10753" width="20.7109375" style="1" customWidth="1"/>
    <col min="10754" max="10754" width="13.28515625" style="1" customWidth="1"/>
    <col min="10755" max="10755" width="9.5703125" style="1" customWidth="1"/>
    <col min="10756" max="10756" width="3.85546875" style="1" customWidth="1"/>
    <col min="10757" max="10757" width="13.28515625" style="1" customWidth="1"/>
    <col min="10758" max="10766" width="0" style="1" hidden="1" customWidth="1"/>
    <col min="10767" max="10767" width="0.42578125" style="1" customWidth="1"/>
    <col min="10768" max="11008" width="9.140625" style="1"/>
    <col min="11009" max="11009" width="20.7109375" style="1" customWidth="1"/>
    <col min="11010" max="11010" width="13.28515625" style="1" customWidth="1"/>
    <col min="11011" max="11011" width="9.5703125" style="1" customWidth="1"/>
    <col min="11012" max="11012" width="3.85546875" style="1" customWidth="1"/>
    <col min="11013" max="11013" width="13.28515625" style="1" customWidth="1"/>
    <col min="11014" max="11022" width="0" style="1" hidden="1" customWidth="1"/>
    <col min="11023" max="11023" width="0.42578125" style="1" customWidth="1"/>
    <col min="11024" max="11264" width="9.140625" style="1"/>
    <col min="11265" max="11265" width="20.7109375" style="1" customWidth="1"/>
    <col min="11266" max="11266" width="13.28515625" style="1" customWidth="1"/>
    <col min="11267" max="11267" width="9.5703125" style="1" customWidth="1"/>
    <col min="11268" max="11268" width="3.85546875" style="1" customWidth="1"/>
    <col min="11269" max="11269" width="13.28515625" style="1" customWidth="1"/>
    <col min="11270" max="11278" width="0" style="1" hidden="1" customWidth="1"/>
    <col min="11279" max="11279" width="0.42578125" style="1" customWidth="1"/>
    <col min="11280" max="11520" width="9.140625" style="1"/>
    <col min="11521" max="11521" width="20.7109375" style="1" customWidth="1"/>
    <col min="11522" max="11522" width="13.28515625" style="1" customWidth="1"/>
    <col min="11523" max="11523" width="9.5703125" style="1" customWidth="1"/>
    <col min="11524" max="11524" width="3.85546875" style="1" customWidth="1"/>
    <col min="11525" max="11525" width="13.28515625" style="1" customWidth="1"/>
    <col min="11526" max="11534" width="0" style="1" hidden="1" customWidth="1"/>
    <col min="11535" max="11535" width="0.42578125" style="1" customWidth="1"/>
    <col min="11536" max="11776" width="9.140625" style="1"/>
    <col min="11777" max="11777" width="20.7109375" style="1" customWidth="1"/>
    <col min="11778" max="11778" width="13.28515625" style="1" customWidth="1"/>
    <col min="11779" max="11779" width="9.5703125" style="1" customWidth="1"/>
    <col min="11780" max="11780" width="3.85546875" style="1" customWidth="1"/>
    <col min="11781" max="11781" width="13.28515625" style="1" customWidth="1"/>
    <col min="11782" max="11790" width="0" style="1" hidden="1" customWidth="1"/>
    <col min="11791" max="11791" width="0.42578125" style="1" customWidth="1"/>
    <col min="11792" max="12032" width="9.140625" style="1"/>
    <col min="12033" max="12033" width="20.7109375" style="1" customWidth="1"/>
    <col min="12034" max="12034" width="13.28515625" style="1" customWidth="1"/>
    <col min="12035" max="12035" width="9.5703125" style="1" customWidth="1"/>
    <col min="12036" max="12036" width="3.85546875" style="1" customWidth="1"/>
    <col min="12037" max="12037" width="13.28515625" style="1" customWidth="1"/>
    <col min="12038" max="12046" width="0" style="1" hidden="1" customWidth="1"/>
    <col min="12047" max="12047" width="0.42578125" style="1" customWidth="1"/>
    <col min="12048" max="12288" width="9.140625" style="1"/>
    <col min="12289" max="12289" width="20.7109375" style="1" customWidth="1"/>
    <col min="12290" max="12290" width="13.28515625" style="1" customWidth="1"/>
    <col min="12291" max="12291" width="9.5703125" style="1" customWidth="1"/>
    <col min="12292" max="12292" width="3.85546875" style="1" customWidth="1"/>
    <col min="12293" max="12293" width="13.28515625" style="1" customWidth="1"/>
    <col min="12294" max="12302" width="0" style="1" hidden="1" customWidth="1"/>
    <col min="12303" max="12303" width="0.42578125" style="1" customWidth="1"/>
    <col min="12304" max="12544" width="9.140625" style="1"/>
    <col min="12545" max="12545" width="20.7109375" style="1" customWidth="1"/>
    <col min="12546" max="12546" width="13.28515625" style="1" customWidth="1"/>
    <col min="12547" max="12547" width="9.5703125" style="1" customWidth="1"/>
    <col min="12548" max="12548" width="3.85546875" style="1" customWidth="1"/>
    <col min="12549" max="12549" width="13.28515625" style="1" customWidth="1"/>
    <col min="12550" max="12558" width="0" style="1" hidden="1" customWidth="1"/>
    <col min="12559" max="12559" width="0.42578125" style="1" customWidth="1"/>
    <col min="12560" max="12800" width="9.140625" style="1"/>
    <col min="12801" max="12801" width="20.7109375" style="1" customWidth="1"/>
    <col min="12802" max="12802" width="13.28515625" style="1" customWidth="1"/>
    <col min="12803" max="12803" width="9.5703125" style="1" customWidth="1"/>
    <col min="12804" max="12804" width="3.85546875" style="1" customWidth="1"/>
    <col min="12805" max="12805" width="13.28515625" style="1" customWidth="1"/>
    <col min="12806" max="12814" width="0" style="1" hidden="1" customWidth="1"/>
    <col min="12815" max="12815" width="0.42578125" style="1" customWidth="1"/>
    <col min="12816" max="13056" width="9.140625" style="1"/>
    <col min="13057" max="13057" width="20.7109375" style="1" customWidth="1"/>
    <col min="13058" max="13058" width="13.28515625" style="1" customWidth="1"/>
    <col min="13059" max="13059" width="9.5703125" style="1" customWidth="1"/>
    <col min="13060" max="13060" width="3.85546875" style="1" customWidth="1"/>
    <col min="13061" max="13061" width="13.28515625" style="1" customWidth="1"/>
    <col min="13062" max="13070" width="0" style="1" hidden="1" customWidth="1"/>
    <col min="13071" max="13071" width="0.42578125" style="1" customWidth="1"/>
    <col min="13072" max="13312" width="9.140625" style="1"/>
    <col min="13313" max="13313" width="20.7109375" style="1" customWidth="1"/>
    <col min="13314" max="13314" width="13.28515625" style="1" customWidth="1"/>
    <col min="13315" max="13315" width="9.5703125" style="1" customWidth="1"/>
    <col min="13316" max="13316" width="3.85546875" style="1" customWidth="1"/>
    <col min="13317" max="13317" width="13.28515625" style="1" customWidth="1"/>
    <col min="13318" max="13326" width="0" style="1" hidden="1" customWidth="1"/>
    <col min="13327" max="13327" width="0.42578125" style="1" customWidth="1"/>
    <col min="13328" max="13568" width="9.140625" style="1"/>
    <col min="13569" max="13569" width="20.7109375" style="1" customWidth="1"/>
    <col min="13570" max="13570" width="13.28515625" style="1" customWidth="1"/>
    <col min="13571" max="13571" width="9.5703125" style="1" customWidth="1"/>
    <col min="13572" max="13572" width="3.85546875" style="1" customWidth="1"/>
    <col min="13573" max="13573" width="13.28515625" style="1" customWidth="1"/>
    <col min="13574" max="13582" width="0" style="1" hidden="1" customWidth="1"/>
    <col min="13583" max="13583" width="0.42578125" style="1" customWidth="1"/>
    <col min="13584" max="13824" width="9.140625" style="1"/>
    <col min="13825" max="13825" width="20.7109375" style="1" customWidth="1"/>
    <col min="13826" max="13826" width="13.28515625" style="1" customWidth="1"/>
    <col min="13827" max="13827" width="9.5703125" style="1" customWidth="1"/>
    <col min="13828" max="13828" width="3.85546875" style="1" customWidth="1"/>
    <col min="13829" max="13829" width="13.28515625" style="1" customWidth="1"/>
    <col min="13830" max="13838" width="0" style="1" hidden="1" customWidth="1"/>
    <col min="13839" max="13839" width="0.42578125" style="1" customWidth="1"/>
    <col min="13840" max="14080" width="9.140625" style="1"/>
    <col min="14081" max="14081" width="20.7109375" style="1" customWidth="1"/>
    <col min="14082" max="14082" width="13.28515625" style="1" customWidth="1"/>
    <col min="14083" max="14083" width="9.5703125" style="1" customWidth="1"/>
    <col min="14084" max="14084" width="3.85546875" style="1" customWidth="1"/>
    <col min="14085" max="14085" width="13.28515625" style="1" customWidth="1"/>
    <col min="14086" max="14094" width="0" style="1" hidden="1" customWidth="1"/>
    <col min="14095" max="14095" width="0.42578125" style="1" customWidth="1"/>
    <col min="14096" max="14336" width="9.140625" style="1"/>
    <col min="14337" max="14337" width="20.7109375" style="1" customWidth="1"/>
    <col min="14338" max="14338" width="13.28515625" style="1" customWidth="1"/>
    <col min="14339" max="14339" width="9.5703125" style="1" customWidth="1"/>
    <col min="14340" max="14340" width="3.85546875" style="1" customWidth="1"/>
    <col min="14341" max="14341" width="13.28515625" style="1" customWidth="1"/>
    <col min="14342" max="14350" width="0" style="1" hidden="1" customWidth="1"/>
    <col min="14351" max="14351" width="0.42578125" style="1" customWidth="1"/>
    <col min="14352" max="14592" width="9.140625" style="1"/>
    <col min="14593" max="14593" width="20.7109375" style="1" customWidth="1"/>
    <col min="14594" max="14594" width="13.28515625" style="1" customWidth="1"/>
    <col min="14595" max="14595" width="9.5703125" style="1" customWidth="1"/>
    <col min="14596" max="14596" width="3.85546875" style="1" customWidth="1"/>
    <col min="14597" max="14597" width="13.28515625" style="1" customWidth="1"/>
    <col min="14598" max="14606" width="0" style="1" hidden="1" customWidth="1"/>
    <col min="14607" max="14607" width="0.42578125" style="1" customWidth="1"/>
    <col min="14608" max="14848" width="9.140625" style="1"/>
    <col min="14849" max="14849" width="20.7109375" style="1" customWidth="1"/>
    <col min="14850" max="14850" width="13.28515625" style="1" customWidth="1"/>
    <col min="14851" max="14851" width="9.5703125" style="1" customWidth="1"/>
    <col min="14852" max="14852" width="3.85546875" style="1" customWidth="1"/>
    <col min="14853" max="14853" width="13.28515625" style="1" customWidth="1"/>
    <col min="14854" max="14862" width="0" style="1" hidden="1" customWidth="1"/>
    <col min="14863" max="14863" width="0.42578125" style="1" customWidth="1"/>
    <col min="14864" max="15104" width="9.140625" style="1"/>
    <col min="15105" max="15105" width="20.7109375" style="1" customWidth="1"/>
    <col min="15106" max="15106" width="13.28515625" style="1" customWidth="1"/>
    <col min="15107" max="15107" width="9.5703125" style="1" customWidth="1"/>
    <col min="15108" max="15108" width="3.85546875" style="1" customWidth="1"/>
    <col min="15109" max="15109" width="13.28515625" style="1" customWidth="1"/>
    <col min="15110" max="15118" width="0" style="1" hidden="1" customWidth="1"/>
    <col min="15119" max="15119" width="0.42578125" style="1" customWidth="1"/>
    <col min="15120" max="15360" width="9.140625" style="1"/>
    <col min="15361" max="15361" width="20.7109375" style="1" customWidth="1"/>
    <col min="15362" max="15362" width="13.28515625" style="1" customWidth="1"/>
    <col min="15363" max="15363" width="9.5703125" style="1" customWidth="1"/>
    <col min="15364" max="15364" width="3.85546875" style="1" customWidth="1"/>
    <col min="15365" max="15365" width="13.28515625" style="1" customWidth="1"/>
    <col min="15366" max="15374" width="0" style="1" hidden="1" customWidth="1"/>
    <col min="15375" max="15375" width="0.42578125" style="1" customWidth="1"/>
    <col min="15376" max="15616" width="9.140625" style="1"/>
    <col min="15617" max="15617" width="20.7109375" style="1" customWidth="1"/>
    <col min="15618" max="15618" width="13.28515625" style="1" customWidth="1"/>
    <col min="15619" max="15619" width="9.5703125" style="1" customWidth="1"/>
    <col min="15620" max="15620" width="3.85546875" style="1" customWidth="1"/>
    <col min="15621" max="15621" width="13.28515625" style="1" customWidth="1"/>
    <col min="15622" max="15630" width="0" style="1" hidden="1" customWidth="1"/>
    <col min="15631" max="15631" width="0.42578125" style="1" customWidth="1"/>
    <col min="15632" max="15872" width="9.140625" style="1"/>
    <col min="15873" max="15873" width="20.7109375" style="1" customWidth="1"/>
    <col min="15874" max="15874" width="13.28515625" style="1" customWidth="1"/>
    <col min="15875" max="15875" width="9.5703125" style="1" customWidth="1"/>
    <col min="15876" max="15876" width="3.85546875" style="1" customWidth="1"/>
    <col min="15877" max="15877" width="13.28515625" style="1" customWidth="1"/>
    <col min="15878" max="15886" width="0" style="1" hidden="1" customWidth="1"/>
    <col min="15887" max="15887" width="0.42578125" style="1" customWidth="1"/>
    <col min="15888" max="16128" width="9.140625" style="1"/>
    <col min="16129" max="16129" width="20.7109375" style="1" customWidth="1"/>
    <col min="16130" max="16130" width="13.28515625" style="1" customWidth="1"/>
    <col min="16131" max="16131" width="9.5703125" style="1" customWidth="1"/>
    <col min="16132" max="16132" width="3.85546875" style="1" customWidth="1"/>
    <col min="16133" max="16133" width="13.28515625" style="1" customWidth="1"/>
    <col min="16134" max="16142" width="0" style="1" hidden="1" customWidth="1"/>
    <col min="16143" max="16143" width="0.42578125" style="1" customWidth="1"/>
    <col min="16144" max="16384" width="9.140625" style="1"/>
  </cols>
  <sheetData>
    <row r="1" spans="1:16" ht="34.5" customHeight="1"/>
    <row r="2" spans="1:16" ht="23.25" customHeight="1">
      <c r="A2" s="433" t="s">
        <v>585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6" ht="15.75" customHeight="1">
      <c r="A3" s="434" t="s">
        <v>586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6" ht="0.75" customHeight="1"/>
    <row r="5" spans="1:16" ht="9.75" customHeight="1">
      <c r="A5" s="434" t="s">
        <v>587</v>
      </c>
      <c r="B5" s="434"/>
      <c r="C5" s="434"/>
    </row>
    <row r="6" spans="1:16" ht="6.75" customHeight="1">
      <c r="A6" s="434"/>
      <c r="B6" s="434"/>
      <c r="C6" s="434"/>
    </row>
    <row r="7" spans="1:16" ht="0.75" customHeight="1"/>
    <row r="8" spans="1:16" ht="6" customHeight="1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</row>
    <row r="9" spans="1:16" ht="14.25" customHeight="1">
      <c r="K9" s="436" t="s">
        <v>588</v>
      </c>
      <c r="L9" s="436"/>
      <c r="M9" s="436"/>
      <c r="N9" s="436"/>
      <c r="O9" s="436"/>
    </row>
    <row r="10" spans="1:16" ht="19.5" customHeight="1">
      <c r="A10" s="437" t="s">
        <v>589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</row>
    <row r="11" spans="1:16" ht="15" customHeight="1">
      <c r="A11" s="442" t="s">
        <v>590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</row>
    <row r="12" spans="1:16" ht="1.5" customHeight="1"/>
    <row r="13" spans="1:16" ht="15" customHeight="1">
      <c r="A13" s="443"/>
      <c r="B13" s="443"/>
      <c r="C13" s="444" t="s">
        <v>591</v>
      </c>
      <c r="D13" s="444"/>
      <c r="E13" s="444"/>
      <c r="F13" s="444" t="s">
        <v>592</v>
      </c>
      <c r="G13" s="444"/>
      <c r="H13" s="444" t="s">
        <v>593</v>
      </c>
      <c r="I13" s="444"/>
      <c r="J13" s="444" t="s">
        <v>594</v>
      </c>
      <c r="K13" s="444"/>
      <c r="L13" s="444"/>
      <c r="M13" s="444"/>
      <c r="N13" s="444"/>
      <c r="O13" s="444"/>
    </row>
    <row r="14" spans="1:16" ht="14.25" customHeight="1">
      <c r="A14" s="250" t="s">
        <v>595</v>
      </c>
      <c r="B14" s="251" t="s">
        <v>596</v>
      </c>
      <c r="C14" s="438" t="s">
        <v>597</v>
      </c>
      <c r="D14" s="438"/>
      <c r="E14" s="252" t="s">
        <v>269</v>
      </c>
      <c r="F14" s="252" t="s">
        <v>597</v>
      </c>
      <c r="G14" s="252" t="s">
        <v>269</v>
      </c>
      <c r="H14" s="252" t="s">
        <v>597</v>
      </c>
      <c r="I14" s="252" t="s">
        <v>269</v>
      </c>
      <c r="J14" s="439" t="s">
        <v>598</v>
      </c>
      <c r="K14" s="439"/>
      <c r="L14" s="439" t="s">
        <v>599</v>
      </c>
      <c r="M14" s="439"/>
      <c r="N14" s="439" t="s">
        <v>600</v>
      </c>
      <c r="O14" s="439"/>
      <c r="P14" s="1" t="s">
        <v>601</v>
      </c>
    </row>
    <row r="15" spans="1:16" ht="14.25" customHeight="1">
      <c r="A15" s="440" t="s">
        <v>428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P15" s="1" t="s">
        <v>602</v>
      </c>
    </row>
    <row r="16" spans="1:16" ht="13.5" customHeight="1">
      <c r="A16" s="253"/>
      <c r="B16" s="254">
        <v>3997383.92</v>
      </c>
      <c r="C16" s="441">
        <v>3644553.49</v>
      </c>
      <c r="D16" s="441"/>
      <c r="E16" s="254">
        <v>3644553.49</v>
      </c>
      <c r="F16" s="254">
        <v>3366891.96</v>
      </c>
      <c r="G16" s="254">
        <v>3366891.96</v>
      </c>
      <c r="H16" s="254">
        <v>3364239.58</v>
      </c>
      <c r="I16" s="254">
        <v>3364239.58</v>
      </c>
      <c r="J16" s="441">
        <v>352830.43</v>
      </c>
      <c r="K16" s="441"/>
      <c r="L16" s="441">
        <v>277661.53000000003</v>
      </c>
      <c r="M16" s="441"/>
      <c r="N16" s="254">
        <v>2652.38</v>
      </c>
      <c r="P16" s="266">
        <f>B16</f>
        <v>3997383.92</v>
      </c>
    </row>
    <row r="17" spans="1:16" ht="14.25" customHeight="1">
      <c r="A17" s="447" t="s">
        <v>426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</row>
    <row r="18" spans="1:16" ht="14.25" customHeight="1">
      <c r="A18" s="255"/>
      <c r="B18" s="256">
        <v>176300.11</v>
      </c>
      <c r="C18" s="446">
        <v>125218.07</v>
      </c>
      <c r="D18" s="446"/>
      <c r="E18" s="256">
        <v>125218.07</v>
      </c>
      <c r="F18" s="256">
        <v>125218.07</v>
      </c>
      <c r="G18" s="256">
        <v>125218.07</v>
      </c>
      <c r="H18" s="256">
        <v>125218.07</v>
      </c>
      <c r="I18" s="256">
        <v>125218.07</v>
      </c>
      <c r="J18" s="446">
        <v>51082.04</v>
      </c>
      <c r="K18" s="446"/>
      <c r="L18" s="446">
        <v>0</v>
      </c>
      <c r="M18" s="446"/>
      <c r="N18" s="256">
        <v>0</v>
      </c>
      <c r="P18" s="277">
        <f>B18</f>
        <v>176300.11</v>
      </c>
    </row>
    <row r="19" spans="1:16" ht="14.25" customHeight="1">
      <c r="A19" s="440" t="s">
        <v>424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</row>
    <row r="20" spans="1:16" ht="14.25" customHeight="1">
      <c r="A20" s="253"/>
      <c r="B20" s="254">
        <v>176300.11</v>
      </c>
      <c r="C20" s="441">
        <v>125218.07</v>
      </c>
      <c r="D20" s="441"/>
      <c r="E20" s="254">
        <v>125218.07</v>
      </c>
      <c r="F20" s="254">
        <v>125218.07</v>
      </c>
      <c r="G20" s="254">
        <v>125218.07</v>
      </c>
      <c r="H20" s="254">
        <v>125218.07</v>
      </c>
      <c r="I20" s="254">
        <v>125218.07</v>
      </c>
      <c r="J20" s="441">
        <v>51082.04</v>
      </c>
      <c r="K20" s="441"/>
      <c r="L20" s="441">
        <v>0</v>
      </c>
      <c r="M20" s="441"/>
      <c r="N20" s="254">
        <v>0</v>
      </c>
      <c r="P20" s="277">
        <f>B20</f>
        <v>176300.11</v>
      </c>
    </row>
    <row r="21" spans="1:16" ht="14.25" customHeight="1">
      <c r="A21" s="445" t="s">
        <v>422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</row>
    <row r="22" spans="1:16" ht="14.25" customHeight="1">
      <c r="A22" s="255"/>
      <c r="B22" s="256">
        <v>176300.11</v>
      </c>
      <c r="C22" s="446">
        <v>125218.07</v>
      </c>
      <c r="D22" s="446"/>
      <c r="E22" s="256">
        <v>125218.07</v>
      </c>
      <c r="F22" s="256">
        <v>125218.07</v>
      </c>
      <c r="G22" s="256">
        <v>125218.07</v>
      </c>
      <c r="H22" s="256">
        <v>125218.07</v>
      </c>
      <c r="I22" s="256">
        <v>125218.07</v>
      </c>
      <c r="J22" s="446">
        <v>51082.04</v>
      </c>
      <c r="K22" s="446"/>
      <c r="L22" s="446">
        <v>0</v>
      </c>
      <c r="M22" s="446"/>
      <c r="N22" s="256">
        <v>0</v>
      </c>
      <c r="P22" s="278" t="s">
        <v>618</v>
      </c>
    </row>
    <row r="23" spans="1:16" ht="14.25" customHeight="1">
      <c r="A23" s="440" t="s">
        <v>420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</row>
    <row r="24" spans="1:16" ht="14.25" customHeight="1">
      <c r="A24" s="253"/>
      <c r="B24" s="254">
        <v>3821083.81</v>
      </c>
      <c r="C24" s="441">
        <v>3519335.42</v>
      </c>
      <c r="D24" s="441"/>
      <c r="E24" s="254">
        <v>3519335.42</v>
      </c>
      <c r="F24" s="254">
        <v>3241673.89</v>
      </c>
      <c r="G24" s="254">
        <v>3241673.89</v>
      </c>
      <c r="H24" s="254">
        <v>3239021.51</v>
      </c>
      <c r="I24" s="254">
        <v>3239021.51</v>
      </c>
      <c r="J24" s="441">
        <v>301748.39</v>
      </c>
      <c r="K24" s="441"/>
      <c r="L24" s="441">
        <v>277661.53000000003</v>
      </c>
      <c r="M24" s="441"/>
      <c r="N24" s="254">
        <v>2652.38</v>
      </c>
      <c r="P24" s="277">
        <f>B24</f>
        <v>3821083.81</v>
      </c>
    </row>
    <row r="25" spans="1:16" ht="14.25" customHeight="1">
      <c r="A25" s="447" t="s">
        <v>418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</row>
    <row r="26" spans="1:16" ht="13.5" customHeight="1">
      <c r="A26" s="255"/>
      <c r="B26" s="256">
        <v>979475.47</v>
      </c>
      <c r="C26" s="446">
        <v>972108.25</v>
      </c>
      <c r="D26" s="446"/>
      <c r="E26" s="256">
        <v>972108.25</v>
      </c>
      <c r="F26" s="256">
        <v>956873.68</v>
      </c>
      <c r="G26" s="256">
        <v>956873.68</v>
      </c>
      <c r="H26" s="256">
        <v>956873.68</v>
      </c>
      <c r="I26" s="256">
        <v>956873.68</v>
      </c>
      <c r="J26" s="446">
        <v>7367.22</v>
      </c>
      <c r="K26" s="446"/>
      <c r="L26" s="446">
        <v>15234.57</v>
      </c>
      <c r="M26" s="446"/>
      <c r="N26" s="256">
        <v>0</v>
      </c>
      <c r="P26" s="277">
        <f>B28+B30</f>
        <v>979475.47</v>
      </c>
    </row>
    <row r="27" spans="1:16" ht="14.25" customHeight="1">
      <c r="A27" s="448" t="s">
        <v>416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</row>
    <row r="28" spans="1:16" ht="14.25" customHeight="1">
      <c r="A28" s="253"/>
      <c r="B28" s="254">
        <v>402684.81</v>
      </c>
      <c r="C28" s="441">
        <v>400504.38</v>
      </c>
      <c r="D28" s="441"/>
      <c r="E28" s="254">
        <v>400504.38</v>
      </c>
      <c r="F28" s="254">
        <v>387095.32</v>
      </c>
      <c r="G28" s="254">
        <v>387095.32</v>
      </c>
      <c r="H28" s="254">
        <v>387095.32</v>
      </c>
      <c r="I28" s="254">
        <v>387095.32</v>
      </c>
      <c r="J28" s="441">
        <v>2180.4299999999998</v>
      </c>
      <c r="K28" s="441"/>
      <c r="L28" s="441">
        <v>13409.06</v>
      </c>
      <c r="M28" s="441"/>
      <c r="N28" s="254">
        <v>0</v>
      </c>
      <c r="P28" s="279" t="s">
        <v>618</v>
      </c>
    </row>
    <row r="29" spans="1:16" ht="14.25" customHeight="1">
      <c r="A29" s="445" t="s">
        <v>414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</row>
    <row r="30" spans="1:16" ht="14.25" customHeight="1">
      <c r="A30" s="255"/>
      <c r="B30" s="256">
        <v>576790.66</v>
      </c>
      <c r="C30" s="446">
        <v>571603.87</v>
      </c>
      <c r="D30" s="446"/>
      <c r="E30" s="256">
        <v>571603.87</v>
      </c>
      <c r="F30" s="256">
        <v>569778.36</v>
      </c>
      <c r="G30" s="256">
        <v>569778.36</v>
      </c>
      <c r="H30" s="256">
        <v>569778.36</v>
      </c>
      <c r="I30" s="256">
        <v>569778.36</v>
      </c>
      <c r="J30" s="446">
        <v>5186.79</v>
      </c>
      <c r="K30" s="446"/>
      <c r="L30" s="446">
        <v>1825.51</v>
      </c>
      <c r="M30" s="446"/>
      <c r="N30" s="256">
        <v>0</v>
      </c>
      <c r="P30" s="279" t="s">
        <v>618</v>
      </c>
    </row>
    <row r="31" spans="1:16" ht="14.25" customHeight="1">
      <c r="A31" s="440" t="s">
        <v>412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</row>
    <row r="32" spans="1:16" ht="14.25" customHeight="1">
      <c r="A32" s="253"/>
      <c r="B32" s="254">
        <v>2489882.81</v>
      </c>
      <c r="C32" s="441">
        <v>2199245.65</v>
      </c>
      <c r="D32" s="441"/>
      <c r="E32" s="254">
        <v>2199245.65</v>
      </c>
      <c r="F32" s="254">
        <v>1936818.69</v>
      </c>
      <c r="G32" s="254">
        <v>1936818.69</v>
      </c>
      <c r="H32" s="254">
        <v>1934166.31</v>
      </c>
      <c r="I32" s="254">
        <v>1934166.31</v>
      </c>
      <c r="J32" s="441">
        <v>290637.15999999997</v>
      </c>
      <c r="K32" s="441"/>
      <c r="L32" s="441">
        <v>262426.96000000002</v>
      </c>
      <c r="M32" s="441"/>
      <c r="N32" s="254">
        <v>2652.38</v>
      </c>
      <c r="P32" s="277">
        <f>B34+B36+B38+B40+B42+B44+B46</f>
        <v>2489882.81</v>
      </c>
    </row>
    <row r="33" spans="1:16" ht="14.25" customHeight="1">
      <c r="A33" s="445" t="s">
        <v>410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</row>
    <row r="34" spans="1:16" ht="14.25" customHeight="1">
      <c r="A34" s="255"/>
      <c r="B34" s="256">
        <v>1457932.16</v>
      </c>
      <c r="C34" s="446">
        <v>1393012.78</v>
      </c>
      <c r="D34" s="446"/>
      <c r="E34" s="256">
        <v>1393012.78</v>
      </c>
      <c r="F34" s="256">
        <v>1305671.82</v>
      </c>
      <c r="G34" s="256">
        <v>1305671.82</v>
      </c>
      <c r="H34" s="256">
        <v>1303019.44</v>
      </c>
      <c r="I34" s="256">
        <v>1303019.44</v>
      </c>
      <c r="J34" s="446">
        <v>64919.38</v>
      </c>
      <c r="K34" s="446"/>
      <c r="L34" s="446">
        <v>87340.96</v>
      </c>
      <c r="M34" s="446"/>
      <c r="N34" s="256">
        <v>2652.38</v>
      </c>
      <c r="P34" s="279" t="s">
        <v>618</v>
      </c>
    </row>
    <row r="35" spans="1:16" ht="14.25" customHeight="1">
      <c r="A35" s="448" t="s">
        <v>408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</row>
    <row r="36" spans="1:16" ht="13.5" customHeight="1">
      <c r="A36" s="253"/>
      <c r="B36" s="254">
        <v>34381.18</v>
      </c>
      <c r="C36" s="441">
        <v>34381.18</v>
      </c>
      <c r="D36" s="441"/>
      <c r="E36" s="254">
        <v>34381.18</v>
      </c>
      <c r="F36" s="254">
        <v>34381.18</v>
      </c>
      <c r="G36" s="254">
        <v>34381.18</v>
      </c>
      <c r="H36" s="254">
        <v>34381.18</v>
      </c>
      <c r="I36" s="254">
        <v>34381.18</v>
      </c>
      <c r="J36" s="441">
        <v>0</v>
      </c>
      <c r="K36" s="441"/>
      <c r="L36" s="441">
        <v>0</v>
      </c>
      <c r="M36" s="441"/>
      <c r="N36" s="254">
        <v>0</v>
      </c>
      <c r="P36" s="279" t="s">
        <v>618</v>
      </c>
    </row>
    <row r="37" spans="1:16" ht="14.25" customHeight="1">
      <c r="A37" s="445" t="s">
        <v>406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</row>
    <row r="38" spans="1:16" ht="14.25" customHeight="1">
      <c r="A38" s="255"/>
      <c r="B38" s="256">
        <v>46200</v>
      </c>
      <c r="C38" s="446">
        <v>33915.629999999997</v>
      </c>
      <c r="D38" s="446"/>
      <c r="E38" s="256">
        <v>33915.629999999997</v>
      </c>
      <c r="F38" s="256">
        <v>33915.629999999997</v>
      </c>
      <c r="G38" s="256">
        <v>33915.629999999997</v>
      </c>
      <c r="H38" s="256">
        <v>33915.629999999997</v>
      </c>
      <c r="I38" s="256">
        <v>33915.629999999997</v>
      </c>
      <c r="J38" s="446">
        <v>12284.37</v>
      </c>
      <c r="K38" s="446"/>
      <c r="L38" s="446">
        <v>0</v>
      </c>
      <c r="M38" s="446"/>
      <c r="N38" s="256">
        <v>0</v>
      </c>
      <c r="P38" s="279" t="s">
        <v>618</v>
      </c>
    </row>
    <row r="39" spans="1:16" ht="14.25" customHeight="1">
      <c r="A39" s="448" t="s">
        <v>404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</row>
    <row r="40" spans="1:16" ht="14.25" customHeight="1">
      <c r="A40" s="253"/>
      <c r="B40" s="254">
        <v>68762.350000000006</v>
      </c>
      <c r="C40" s="441">
        <v>65450</v>
      </c>
      <c r="D40" s="441"/>
      <c r="E40" s="254">
        <v>65450</v>
      </c>
      <c r="F40" s="254">
        <v>0</v>
      </c>
      <c r="G40" s="254">
        <v>0</v>
      </c>
      <c r="H40" s="254">
        <v>0</v>
      </c>
      <c r="I40" s="254">
        <v>0</v>
      </c>
      <c r="J40" s="441">
        <v>3312.35</v>
      </c>
      <c r="K40" s="441"/>
      <c r="L40" s="441">
        <v>65450</v>
      </c>
      <c r="M40" s="441"/>
      <c r="N40" s="254">
        <v>0</v>
      </c>
      <c r="P40" s="279" t="s">
        <v>618</v>
      </c>
    </row>
    <row r="41" spans="1:16" ht="14.25" customHeight="1">
      <c r="A41" s="445" t="s">
        <v>402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</row>
    <row r="42" spans="1:16" ht="14.25" customHeight="1">
      <c r="A42" s="255"/>
      <c r="B42" s="256">
        <v>215000</v>
      </c>
      <c r="C42" s="446">
        <v>11880</v>
      </c>
      <c r="D42" s="446"/>
      <c r="E42" s="256">
        <v>11880</v>
      </c>
      <c r="F42" s="256">
        <v>0</v>
      </c>
      <c r="G42" s="256">
        <v>0</v>
      </c>
      <c r="H42" s="256">
        <v>0</v>
      </c>
      <c r="I42" s="256">
        <v>0</v>
      </c>
      <c r="J42" s="446">
        <v>203120</v>
      </c>
      <c r="K42" s="446"/>
      <c r="L42" s="446">
        <v>11880</v>
      </c>
      <c r="M42" s="446"/>
      <c r="N42" s="256">
        <v>0</v>
      </c>
      <c r="P42" s="279" t="s">
        <v>618</v>
      </c>
    </row>
    <row r="43" spans="1:16" ht="14.25" customHeight="1">
      <c r="A43" s="448" t="s">
        <v>359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</row>
    <row r="44" spans="1:16" ht="14.25" customHeight="1">
      <c r="A44" s="253"/>
      <c r="B44" s="254">
        <v>617607.12</v>
      </c>
      <c r="C44" s="441">
        <v>610606.06000000006</v>
      </c>
      <c r="D44" s="441"/>
      <c r="E44" s="254">
        <v>610606.06000000006</v>
      </c>
      <c r="F44" s="254">
        <v>512850.06</v>
      </c>
      <c r="G44" s="254">
        <v>512850.06</v>
      </c>
      <c r="H44" s="254">
        <v>512850.06</v>
      </c>
      <c r="I44" s="254">
        <v>512850.06</v>
      </c>
      <c r="J44" s="441">
        <v>7001.06</v>
      </c>
      <c r="K44" s="441"/>
      <c r="L44" s="441">
        <v>97756</v>
      </c>
      <c r="M44" s="441"/>
      <c r="N44" s="254">
        <v>0</v>
      </c>
      <c r="P44" s="279" t="s">
        <v>618</v>
      </c>
    </row>
    <row r="45" spans="1:16" ht="14.25" customHeight="1">
      <c r="A45" s="445" t="s">
        <v>399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</row>
    <row r="46" spans="1:16" ht="13.5" customHeight="1">
      <c r="A46" s="255"/>
      <c r="B46" s="256">
        <v>50000</v>
      </c>
      <c r="C46" s="446">
        <v>50000</v>
      </c>
      <c r="D46" s="446"/>
      <c r="E46" s="256">
        <v>50000</v>
      </c>
      <c r="F46" s="256">
        <v>50000</v>
      </c>
      <c r="G46" s="256">
        <v>50000</v>
      </c>
      <c r="H46" s="256">
        <v>50000</v>
      </c>
      <c r="I46" s="256">
        <v>50000</v>
      </c>
      <c r="J46" s="446">
        <v>0</v>
      </c>
      <c r="K46" s="446"/>
      <c r="L46" s="446">
        <v>0</v>
      </c>
      <c r="M46" s="446"/>
      <c r="N46" s="256">
        <v>0</v>
      </c>
      <c r="P46" s="279" t="s">
        <v>618</v>
      </c>
    </row>
    <row r="47" spans="1:16" ht="14.25" customHeight="1">
      <c r="A47" s="440" t="s">
        <v>397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</row>
    <row r="48" spans="1:16" ht="14.25" customHeight="1">
      <c r="A48" s="253"/>
      <c r="B48" s="254">
        <v>79245.399999999994</v>
      </c>
      <c r="C48" s="441">
        <v>75501.399999999994</v>
      </c>
      <c r="D48" s="441"/>
      <c r="E48" s="254">
        <v>75501.399999999994</v>
      </c>
      <c r="F48" s="254">
        <v>75501.399999999994</v>
      </c>
      <c r="G48" s="254">
        <v>75501.399999999994</v>
      </c>
      <c r="H48" s="254">
        <v>75501.399999999994</v>
      </c>
      <c r="I48" s="254">
        <v>75501.399999999994</v>
      </c>
      <c r="J48" s="441">
        <v>3744</v>
      </c>
      <c r="K48" s="441"/>
      <c r="L48" s="441">
        <v>0</v>
      </c>
      <c r="M48" s="441"/>
      <c r="N48" s="254">
        <v>0</v>
      </c>
      <c r="P48" s="277">
        <f>B50+B52</f>
        <v>79245.399999999994</v>
      </c>
    </row>
    <row r="49" spans="1:16" ht="14.25" customHeight="1">
      <c r="A49" s="445" t="s">
        <v>395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</row>
    <row r="50" spans="1:16" ht="14.25" customHeight="1">
      <c r="A50" s="255"/>
      <c r="B50" s="256">
        <v>75501.399999999994</v>
      </c>
      <c r="C50" s="446">
        <v>75501.399999999994</v>
      </c>
      <c r="D50" s="446"/>
      <c r="E50" s="256">
        <v>75501.399999999994</v>
      </c>
      <c r="F50" s="256">
        <v>75501.399999999994</v>
      </c>
      <c r="G50" s="256">
        <v>75501.399999999994</v>
      </c>
      <c r="H50" s="256">
        <v>75501.399999999994</v>
      </c>
      <c r="I50" s="256">
        <v>75501.399999999994</v>
      </c>
      <c r="J50" s="446">
        <v>0</v>
      </c>
      <c r="K50" s="446"/>
      <c r="L50" s="446">
        <v>0</v>
      </c>
      <c r="M50" s="446"/>
      <c r="N50" s="256">
        <v>0</v>
      </c>
      <c r="P50" s="279" t="s">
        <v>618</v>
      </c>
    </row>
    <row r="51" spans="1:16" ht="14.25" customHeight="1">
      <c r="A51" s="448" t="s">
        <v>393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</row>
    <row r="52" spans="1:16" ht="14.25" customHeight="1">
      <c r="A52" s="253"/>
      <c r="B52" s="254">
        <v>3744</v>
      </c>
      <c r="C52" s="441">
        <v>0</v>
      </c>
      <c r="D52" s="441"/>
      <c r="E52" s="254">
        <v>0</v>
      </c>
      <c r="F52" s="254">
        <v>0</v>
      </c>
      <c r="G52" s="254">
        <v>0</v>
      </c>
      <c r="H52" s="254">
        <v>0</v>
      </c>
      <c r="I52" s="254">
        <v>0</v>
      </c>
      <c r="J52" s="441">
        <v>3744</v>
      </c>
      <c r="K52" s="441"/>
      <c r="L52" s="441">
        <v>0</v>
      </c>
      <c r="M52" s="441"/>
      <c r="N52" s="254">
        <v>0</v>
      </c>
      <c r="P52" s="279" t="s">
        <v>618</v>
      </c>
    </row>
    <row r="53" spans="1:16" ht="14.25" customHeight="1">
      <c r="A53" s="447" t="s">
        <v>391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</row>
    <row r="54" spans="1:16" ht="14.25" customHeight="1">
      <c r="A54" s="255"/>
      <c r="B54" s="256">
        <v>272480.13</v>
      </c>
      <c r="C54" s="446">
        <v>272480.12</v>
      </c>
      <c r="D54" s="446"/>
      <c r="E54" s="256">
        <v>272480.12</v>
      </c>
      <c r="F54" s="256">
        <v>272480.12</v>
      </c>
      <c r="G54" s="256">
        <v>272480.12</v>
      </c>
      <c r="H54" s="256">
        <v>272480.12</v>
      </c>
      <c r="I54" s="256">
        <v>272480.12</v>
      </c>
      <c r="J54" s="446">
        <v>0.01</v>
      </c>
      <c r="K54" s="446"/>
      <c r="L54" s="446">
        <v>0</v>
      </c>
      <c r="M54" s="446"/>
      <c r="N54" s="256">
        <v>0</v>
      </c>
      <c r="P54" s="277">
        <f>B56+B58</f>
        <v>272480.13</v>
      </c>
    </row>
    <row r="55" spans="1:16" ht="14.25" customHeight="1">
      <c r="A55" s="448" t="s">
        <v>389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</row>
    <row r="56" spans="1:16" ht="13.5" customHeight="1">
      <c r="A56" s="253"/>
      <c r="B56" s="254">
        <v>234082.61</v>
      </c>
      <c r="C56" s="441">
        <v>234082.61</v>
      </c>
      <c r="D56" s="441"/>
      <c r="E56" s="254">
        <v>234082.61</v>
      </c>
      <c r="F56" s="254">
        <v>234082.61</v>
      </c>
      <c r="G56" s="254">
        <v>234082.61</v>
      </c>
      <c r="H56" s="254">
        <v>234082.61</v>
      </c>
      <c r="I56" s="254">
        <v>234082.61</v>
      </c>
      <c r="J56" s="441">
        <v>0</v>
      </c>
      <c r="K56" s="441"/>
      <c r="L56" s="441">
        <v>0</v>
      </c>
      <c r="M56" s="441"/>
      <c r="N56" s="254">
        <v>0</v>
      </c>
      <c r="P56" s="279" t="s">
        <v>618</v>
      </c>
    </row>
    <row r="57" spans="1:16" ht="14.25" customHeight="1">
      <c r="A57" s="445" t="s">
        <v>364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</row>
    <row r="58" spans="1:16" ht="14.25" customHeight="1">
      <c r="A58" s="255"/>
      <c r="B58" s="256">
        <v>38397.519999999997</v>
      </c>
      <c r="C58" s="446">
        <v>38397.51</v>
      </c>
      <c r="D58" s="446"/>
      <c r="E58" s="256">
        <v>38397.51</v>
      </c>
      <c r="F58" s="256">
        <v>38397.51</v>
      </c>
      <c r="G58" s="256">
        <v>38397.51</v>
      </c>
      <c r="H58" s="256">
        <v>38397.51</v>
      </c>
      <c r="I58" s="256">
        <v>38397.51</v>
      </c>
      <c r="J58" s="446">
        <v>0.01</v>
      </c>
      <c r="K58" s="446"/>
      <c r="L58" s="446">
        <v>0</v>
      </c>
      <c r="M58" s="446"/>
      <c r="N58" s="256">
        <v>0</v>
      </c>
      <c r="P58" s="279" t="s">
        <v>618</v>
      </c>
    </row>
    <row r="59" spans="1:16" ht="14.25" customHeight="1">
      <c r="A59" s="440" t="s">
        <v>386</v>
      </c>
      <c r="B59" s="440"/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</row>
    <row r="60" spans="1:16" ht="14.25" customHeight="1">
      <c r="A60" s="253"/>
      <c r="B60" s="254">
        <v>3997383.92</v>
      </c>
      <c r="C60" s="441">
        <v>3644553.49</v>
      </c>
      <c r="D60" s="441"/>
      <c r="E60" s="254">
        <v>3644553.49</v>
      </c>
      <c r="F60" s="254">
        <v>3366891.96</v>
      </c>
      <c r="G60" s="254">
        <v>3366891.96</v>
      </c>
      <c r="H60" s="254">
        <v>3364239.58</v>
      </c>
      <c r="I60" s="254">
        <v>3364239.58</v>
      </c>
      <c r="J60" s="441">
        <v>352830.43</v>
      </c>
      <c r="K60" s="441"/>
      <c r="L60" s="441">
        <v>277661.53000000003</v>
      </c>
      <c r="M60" s="441"/>
      <c r="N60" s="254">
        <v>2652.38</v>
      </c>
    </row>
    <row r="61" spans="1:16" ht="14.25" customHeight="1"/>
    <row r="62" spans="1:16" ht="12.75" customHeight="1">
      <c r="A62" s="257" t="s">
        <v>603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449" t="s">
        <v>604</v>
      </c>
      <c r="N62" s="449"/>
      <c r="O62" s="449"/>
    </row>
    <row r="63" spans="1:16" ht="20.25" customHeight="1"/>
    <row r="64" spans="1:16" ht="13.5" customHeight="1">
      <c r="M64" s="449" t="s">
        <v>604</v>
      </c>
      <c r="N64" s="449"/>
      <c r="O64" s="449"/>
    </row>
  </sheetData>
  <mergeCells count="110">
    <mergeCell ref="M62:O62"/>
    <mergeCell ref="M64:O64"/>
    <mergeCell ref="A57:N57"/>
    <mergeCell ref="C58:D58"/>
    <mergeCell ref="J58:K58"/>
    <mergeCell ref="L58:M58"/>
    <mergeCell ref="A59:N59"/>
    <mergeCell ref="C60:D60"/>
    <mergeCell ref="J60:K60"/>
    <mergeCell ref="L60:M60"/>
    <mergeCell ref="A53:N53"/>
    <mergeCell ref="C54:D54"/>
    <mergeCell ref="J54:K54"/>
    <mergeCell ref="L54:M54"/>
    <mergeCell ref="A55:N55"/>
    <mergeCell ref="C56:D56"/>
    <mergeCell ref="J56:K56"/>
    <mergeCell ref="L56:M56"/>
    <mergeCell ref="A49:N49"/>
    <mergeCell ref="C50:D50"/>
    <mergeCell ref="J50:K50"/>
    <mergeCell ref="L50:M50"/>
    <mergeCell ref="A51:N51"/>
    <mergeCell ref="C52:D52"/>
    <mergeCell ref="J52:K52"/>
    <mergeCell ref="L52:M52"/>
    <mergeCell ref="A45:N45"/>
    <mergeCell ref="C46:D46"/>
    <mergeCell ref="J46:K46"/>
    <mergeCell ref="L46:M46"/>
    <mergeCell ref="A47:N47"/>
    <mergeCell ref="C48:D48"/>
    <mergeCell ref="J48:K48"/>
    <mergeCell ref="L48:M48"/>
    <mergeCell ref="A41:N41"/>
    <mergeCell ref="C42:D42"/>
    <mergeCell ref="J42:K42"/>
    <mergeCell ref="L42:M42"/>
    <mergeCell ref="A43:N43"/>
    <mergeCell ref="C44:D44"/>
    <mergeCell ref="J44:K44"/>
    <mergeCell ref="L44:M44"/>
    <mergeCell ref="A37:N37"/>
    <mergeCell ref="C38:D38"/>
    <mergeCell ref="J38:K38"/>
    <mergeCell ref="L38:M38"/>
    <mergeCell ref="A39:N39"/>
    <mergeCell ref="C40:D40"/>
    <mergeCell ref="J40:K40"/>
    <mergeCell ref="L40:M40"/>
    <mergeCell ref="A33:N33"/>
    <mergeCell ref="C34:D34"/>
    <mergeCell ref="J34:K34"/>
    <mergeCell ref="L34:M34"/>
    <mergeCell ref="A35:N35"/>
    <mergeCell ref="C36:D36"/>
    <mergeCell ref="J36:K36"/>
    <mergeCell ref="L36:M36"/>
    <mergeCell ref="A29:N29"/>
    <mergeCell ref="C30:D30"/>
    <mergeCell ref="J30:K30"/>
    <mergeCell ref="L30:M30"/>
    <mergeCell ref="A31:N31"/>
    <mergeCell ref="C32:D32"/>
    <mergeCell ref="J32:K32"/>
    <mergeCell ref="L32:M32"/>
    <mergeCell ref="A25:N25"/>
    <mergeCell ref="C26:D26"/>
    <mergeCell ref="J26:K26"/>
    <mergeCell ref="L26:M26"/>
    <mergeCell ref="A27:N27"/>
    <mergeCell ref="C28:D28"/>
    <mergeCell ref="J28:K28"/>
    <mergeCell ref="L28:M28"/>
    <mergeCell ref="A21:N21"/>
    <mergeCell ref="C22:D22"/>
    <mergeCell ref="J22:K22"/>
    <mergeCell ref="L22:M22"/>
    <mergeCell ref="A23:N23"/>
    <mergeCell ref="C24:D24"/>
    <mergeCell ref="J24:K24"/>
    <mergeCell ref="L24:M24"/>
    <mergeCell ref="A17:N17"/>
    <mergeCell ref="C18:D18"/>
    <mergeCell ref="J18:K18"/>
    <mergeCell ref="L18:M18"/>
    <mergeCell ref="A19:N19"/>
    <mergeCell ref="C20:D20"/>
    <mergeCell ref="J20:K20"/>
    <mergeCell ref="L20:M20"/>
    <mergeCell ref="A15:N15"/>
    <mergeCell ref="C16:D16"/>
    <mergeCell ref="J16:K16"/>
    <mergeCell ref="L16:M16"/>
    <mergeCell ref="A11:O11"/>
    <mergeCell ref="A13:B13"/>
    <mergeCell ref="C13:E13"/>
    <mergeCell ref="F13:G13"/>
    <mergeCell ref="H13:I13"/>
    <mergeCell ref="J13:O13"/>
    <mergeCell ref="A2:L2"/>
    <mergeCell ref="A3:L3"/>
    <mergeCell ref="A5:C6"/>
    <mergeCell ref="A8:O8"/>
    <mergeCell ref="K9:O9"/>
    <mergeCell ref="A10:O10"/>
    <mergeCell ref="C14:D14"/>
    <mergeCell ref="J14:K14"/>
    <mergeCell ref="L14:M14"/>
    <mergeCell ref="N14:O14"/>
  </mergeCells>
  <pageMargins left="0.19666667282581329" right="0.19666667282581329" top="0.20000000298023224" bottom="0.20000000298023224" header="0.3" footer="0.3"/>
  <pageSetup paperSize="9" orientation="landscape" errors="blank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2A5664"/>
    <pageSetUpPr fitToPage="1"/>
  </sheetPr>
  <dimension ref="A1:AB28"/>
  <sheetViews>
    <sheetView showGridLines="0" zoomScale="80" zoomScaleNormal="80" zoomScaleSheetLayoutView="80" workbookViewId="0">
      <selection activeCell="C18" sqref="C18"/>
    </sheetView>
  </sheetViews>
  <sheetFormatPr defaultColWidth="9.140625" defaultRowHeight="15.75"/>
  <cols>
    <col min="1" max="1" width="47" style="126" customWidth="1"/>
    <col min="2" max="2" width="11" style="126" customWidth="1"/>
    <col min="3" max="3" width="17.28515625" style="126" bestFit="1" customWidth="1"/>
    <col min="4" max="4" width="18.140625" style="126" customWidth="1"/>
    <col min="5" max="5" width="20.5703125" style="126" hidden="1" customWidth="1"/>
    <col min="6" max="6" width="8" style="126" hidden="1" customWidth="1"/>
    <col min="7" max="7" width="17.28515625" style="126" bestFit="1" customWidth="1"/>
    <col min="8" max="8" width="17.28515625" style="126" customWidth="1"/>
    <col min="9" max="9" width="18.85546875" style="133" customWidth="1"/>
    <col min="10" max="19" width="9.140625" style="133" hidden="1" customWidth="1"/>
    <col min="20" max="24" width="9.140625" style="133" customWidth="1"/>
    <col min="25" max="16384" width="9.140625" style="133"/>
  </cols>
  <sheetData>
    <row r="1" spans="1:28">
      <c r="A1" s="459" t="str">
        <f>'Indicadores e Metas'!A1:G1</f>
        <v>CAU/UF:  DF</v>
      </c>
      <c r="B1" s="460"/>
      <c r="C1" s="460"/>
      <c r="D1" s="460"/>
      <c r="E1" s="460"/>
      <c r="F1" s="461"/>
      <c r="G1" s="246"/>
      <c r="H1" s="246"/>
    </row>
    <row r="2" spans="1:28" s="134" customFormat="1">
      <c r="A2" s="459" t="s">
        <v>325</v>
      </c>
      <c r="B2" s="460"/>
      <c r="C2" s="460"/>
      <c r="D2" s="460"/>
      <c r="E2" s="460"/>
      <c r="F2" s="461"/>
      <c r="G2" s="246"/>
      <c r="H2" s="246"/>
    </row>
    <row r="3" spans="1:28" s="134" customFormat="1">
      <c r="A3" s="478"/>
      <c r="B3" s="478"/>
      <c r="C3" s="478"/>
      <c r="D3" s="478"/>
      <c r="E3" s="129" t="s">
        <v>13</v>
      </c>
      <c r="F3" s="127"/>
      <c r="G3" s="127"/>
      <c r="H3" s="127"/>
    </row>
    <row r="4" spans="1:28">
      <c r="A4" s="464" t="s">
        <v>4</v>
      </c>
      <c r="B4" s="465"/>
      <c r="C4" s="470" t="s">
        <v>322</v>
      </c>
      <c r="D4" s="462" t="s">
        <v>327</v>
      </c>
      <c r="E4" s="194" t="s">
        <v>328</v>
      </c>
      <c r="F4" s="469" t="s">
        <v>305</v>
      </c>
      <c r="G4" s="470" t="s">
        <v>322</v>
      </c>
      <c r="H4" s="271"/>
    </row>
    <row r="5" spans="1:28" ht="32.25" thickBot="1">
      <c r="A5" s="466"/>
      <c r="B5" s="467"/>
      <c r="C5" s="471"/>
      <c r="D5" s="463"/>
      <c r="E5" s="13" t="s">
        <v>329</v>
      </c>
      <c r="F5" s="469"/>
      <c r="G5" s="471"/>
      <c r="H5" s="272"/>
      <c r="U5" s="450" t="s">
        <v>621</v>
      </c>
      <c r="V5" s="450"/>
      <c r="W5" s="450"/>
      <c r="X5" s="450"/>
      <c r="Y5" s="450"/>
      <c r="Z5" s="450"/>
      <c r="AA5" s="450"/>
      <c r="AB5" s="450"/>
    </row>
    <row r="6" spans="1:28" ht="24.75" customHeight="1" thickTop="1" thickBot="1">
      <c r="A6" s="468" t="s">
        <v>306</v>
      </c>
      <c r="B6" s="468"/>
      <c r="C6" s="165"/>
      <c r="D6" s="165"/>
      <c r="E6" s="166"/>
      <c r="F6" s="166"/>
      <c r="G6" s="165"/>
      <c r="H6" s="273" t="s">
        <v>617</v>
      </c>
      <c r="J6" s="206" t="s">
        <v>341</v>
      </c>
      <c r="K6" s="186"/>
      <c r="L6" s="186"/>
      <c r="M6" s="186"/>
      <c r="N6" s="186"/>
      <c r="O6" s="186"/>
      <c r="P6" s="186"/>
      <c r="Q6" s="186"/>
      <c r="R6" s="186"/>
      <c r="S6" s="187"/>
      <c r="U6" s="450"/>
      <c r="V6" s="450"/>
      <c r="W6" s="450"/>
      <c r="X6" s="450"/>
      <c r="Y6" s="450"/>
      <c r="Z6" s="450"/>
      <c r="AA6" s="450"/>
      <c r="AB6" s="450"/>
    </row>
    <row r="7" spans="1:28" ht="19.5" customHeight="1" thickTop="1" thickBot="1">
      <c r="A7" s="455" t="s">
        <v>5</v>
      </c>
      <c r="B7" s="455"/>
      <c r="C7" s="124">
        <f>C8+C18+C19+C20</f>
        <v>3611383.9200000004</v>
      </c>
      <c r="D7" s="124">
        <f>D8+D18+D19+D20</f>
        <v>3907928.82</v>
      </c>
      <c r="E7" s="124">
        <f>IFERROR(D17/C7*100,)</f>
        <v>5.8864267745867345</v>
      </c>
      <c r="F7" s="125">
        <f>IFERROR(D7/$D$24*100,0)</f>
        <v>100</v>
      </c>
      <c r="G7" s="124" t="b">
        <f>C7=[5]FORM.1!F11</f>
        <v>1</v>
      </c>
      <c r="H7" s="274">
        <f>'Receitas 3'!$J$17</f>
        <v>3907928.82</v>
      </c>
      <c r="I7" s="167" t="b">
        <f>D7=H7</f>
        <v>1</v>
      </c>
      <c r="J7" s="452" t="s">
        <v>347</v>
      </c>
      <c r="K7" s="453"/>
      <c r="L7" s="453"/>
      <c r="M7" s="453"/>
      <c r="N7" s="453"/>
      <c r="O7" s="453"/>
      <c r="P7" s="453"/>
      <c r="Q7" s="453"/>
      <c r="R7" s="453"/>
      <c r="S7" s="454"/>
      <c r="U7" s="451" t="s">
        <v>798</v>
      </c>
      <c r="V7" s="451"/>
      <c r="W7" s="451"/>
      <c r="X7" s="451"/>
      <c r="Y7" s="451"/>
      <c r="Z7" s="451"/>
      <c r="AA7" s="451"/>
      <c r="AB7" s="451"/>
    </row>
    <row r="8" spans="1:28" ht="19.5" customHeight="1" thickTop="1" thickBot="1">
      <c r="A8" s="456" t="s">
        <v>54</v>
      </c>
      <c r="B8" s="456"/>
      <c r="C8" s="124">
        <f>C9+C16+C17</f>
        <v>3525383.9200000004</v>
      </c>
      <c r="D8" s="124">
        <f>D9+D16+D17</f>
        <v>3770964.94</v>
      </c>
      <c r="E8" s="124">
        <f t="shared" ref="E8:E24" si="0">IFERROR(D18/C8*100,)</f>
        <v>2.5770935041877649</v>
      </c>
      <c r="F8" s="125">
        <f t="shared" ref="F8:F24" si="1">IFERROR(D8/$D$24*100,0)</f>
        <v>96.495230944354816</v>
      </c>
      <c r="G8" s="124" t="b">
        <f>C8=[5]FORM.1!F12</f>
        <v>1</v>
      </c>
      <c r="H8" s="274">
        <f>H9+H16+H17</f>
        <v>3770964.94</v>
      </c>
      <c r="I8" s="167" t="b">
        <f t="shared" ref="I8:I23" si="2">D8=H8</f>
        <v>1</v>
      </c>
      <c r="J8" s="408"/>
      <c r="K8" s="324"/>
      <c r="L8" s="324"/>
      <c r="M8" s="324"/>
      <c r="N8" s="324"/>
      <c r="O8" s="324"/>
      <c r="P8" s="324"/>
      <c r="Q8" s="324"/>
      <c r="R8" s="324"/>
      <c r="S8" s="409"/>
      <c r="U8" s="451"/>
      <c r="V8" s="451"/>
      <c r="W8" s="451"/>
      <c r="X8" s="451"/>
      <c r="Y8" s="451"/>
      <c r="Z8" s="451"/>
      <c r="AA8" s="451"/>
      <c r="AB8" s="451"/>
    </row>
    <row r="9" spans="1:28" ht="19.5" customHeight="1" thickTop="1" thickBot="1">
      <c r="A9" s="456" t="s">
        <v>6</v>
      </c>
      <c r="B9" s="456"/>
      <c r="C9" s="124">
        <f>C10+C13</f>
        <v>1985008.36</v>
      </c>
      <c r="D9" s="124">
        <f>D10+D13</f>
        <v>2052931.3299999998</v>
      </c>
      <c r="E9" s="124">
        <f t="shared" si="0"/>
        <v>2.3229846749864564</v>
      </c>
      <c r="F9" s="125">
        <f t="shared" si="1"/>
        <v>52.532464754565311</v>
      </c>
      <c r="G9" s="124" t="b">
        <f>C9=[5]FORM.1!F13</f>
        <v>1</v>
      </c>
      <c r="H9" s="274">
        <f>H10+H13</f>
        <v>2052931.3299999998</v>
      </c>
      <c r="I9" s="167" t="b">
        <f t="shared" si="2"/>
        <v>1</v>
      </c>
      <c r="J9" s="408"/>
      <c r="K9" s="324"/>
      <c r="L9" s="324"/>
      <c r="M9" s="324"/>
      <c r="N9" s="324"/>
      <c r="O9" s="324"/>
      <c r="P9" s="324"/>
      <c r="Q9" s="324"/>
      <c r="R9" s="324"/>
      <c r="S9" s="409"/>
      <c r="U9" s="451"/>
      <c r="V9" s="451"/>
      <c r="W9" s="451"/>
      <c r="X9" s="451"/>
      <c r="Y9" s="451"/>
      <c r="Z9" s="451"/>
      <c r="AA9" s="451"/>
      <c r="AB9" s="451"/>
    </row>
    <row r="10" spans="1:28" ht="19.5" customHeight="1" thickTop="1" thickBot="1">
      <c r="A10" s="456" t="s">
        <v>7</v>
      </c>
      <c r="B10" s="456"/>
      <c r="C10" s="121">
        <f>SUM(C11:C12)</f>
        <v>1807802.07</v>
      </c>
      <c r="D10" s="121">
        <f>SUM(D11:D12)</f>
        <v>1907973.2599999998</v>
      </c>
      <c r="E10" s="124">
        <f t="shared" si="0"/>
        <v>0</v>
      </c>
      <c r="F10" s="125">
        <f t="shared" si="1"/>
        <v>48.823132351729988</v>
      </c>
      <c r="G10" s="124" t="b">
        <f>C10=[5]FORM.1!F14</f>
        <v>1</v>
      </c>
      <c r="H10" s="274">
        <f>H11+H12</f>
        <v>1907973.2599999998</v>
      </c>
      <c r="I10" s="167" t="b">
        <f t="shared" si="2"/>
        <v>1</v>
      </c>
      <c r="J10" s="408"/>
      <c r="K10" s="324"/>
      <c r="L10" s="324"/>
      <c r="M10" s="324"/>
      <c r="N10" s="324"/>
      <c r="O10" s="324"/>
      <c r="P10" s="324"/>
      <c r="Q10" s="324"/>
      <c r="R10" s="324"/>
      <c r="S10" s="409"/>
    </row>
    <row r="11" spans="1:28" ht="19.5" customHeight="1" thickTop="1" thickBot="1">
      <c r="A11" s="458" t="s">
        <v>348</v>
      </c>
      <c r="B11" s="458"/>
      <c r="C11" s="9">
        <v>1502059.5</v>
      </c>
      <c r="D11" s="9">
        <f>1495793.13</f>
        <v>1495793.13</v>
      </c>
      <c r="E11" s="124">
        <f t="shared" si="0"/>
        <v>0</v>
      </c>
      <c r="F11" s="125">
        <f t="shared" si="1"/>
        <v>38.275854011076895</v>
      </c>
      <c r="G11" s="124" t="b">
        <f>C11=[5]FORM.1!F15</f>
        <v>1</v>
      </c>
      <c r="H11" s="274">
        <f>'Receitas 3'!$J$21</f>
        <v>1495793.13</v>
      </c>
      <c r="I11" s="167" t="b">
        <f t="shared" si="2"/>
        <v>1</v>
      </c>
      <c r="J11" s="408"/>
      <c r="K11" s="324"/>
      <c r="L11" s="324"/>
      <c r="M11" s="324"/>
      <c r="N11" s="324"/>
      <c r="O11" s="324"/>
      <c r="P11" s="324"/>
      <c r="Q11" s="324"/>
      <c r="R11" s="324"/>
      <c r="S11" s="409"/>
    </row>
    <row r="12" spans="1:28" ht="19.5" customHeight="1" thickTop="1" thickBot="1">
      <c r="A12" s="458" t="s">
        <v>52</v>
      </c>
      <c r="B12" s="458"/>
      <c r="C12" s="9">
        <v>305742.57</v>
      </c>
      <c r="D12" s="9">
        <f>405357.16+6822.97</f>
        <v>412180.12999999995</v>
      </c>
      <c r="E12" s="124">
        <f t="shared" si="0"/>
        <v>0</v>
      </c>
      <c r="F12" s="125">
        <f t="shared" si="1"/>
        <v>10.547278340653092</v>
      </c>
      <c r="G12" s="124" t="b">
        <f>C12=[5]FORM.1!F16</f>
        <v>1</v>
      </c>
      <c r="H12" s="274">
        <f>'Receitas 3'!O22</f>
        <v>412180.12999999995</v>
      </c>
      <c r="I12" s="167" t="b">
        <f t="shared" si="2"/>
        <v>1</v>
      </c>
      <c r="J12" s="408"/>
      <c r="K12" s="324"/>
      <c r="L12" s="324"/>
      <c r="M12" s="324"/>
      <c r="N12" s="324"/>
      <c r="O12" s="324"/>
      <c r="P12" s="324"/>
      <c r="Q12" s="324"/>
      <c r="R12" s="324"/>
      <c r="S12" s="409"/>
    </row>
    <row r="13" spans="1:28" ht="19.5" customHeight="1" thickTop="1" thickBot="1">
      <c r="A13" s="456" t="s">
        <v>8</v>
      </c>
      <c r="B13" s="456"/>
      <c r="C13" s="124">
        <f>SUM(C14:C15)</f>
        <v>177206.29</v>
      </c>
      <c r="D13" s="124">
        <f>SUM(D14:D15)</f>
        <v>144958.07</v>
      </c>
      <c r="E13" s="124">
        <f t="shared" si="0"/>
        <v>0</v>
      </c>
      <c r="F13" s="125">
        <f t="shared" si="1"/>
        <v>3.7093324028353214</v>
      </c>
      <c r="G13" s="124" t="b">
        <f>C13=[5]FORM.1!F17</f>
        <v>1</v>
      </c>
      <c r="H13" s="274">
        <f>H14+H15</f>
        <v>144958.07</v>
      </c>
      <c r="I13" s="167" t="b">
        <f t="shared" si="2"/>
        <v>1</v>
      </c>
      <c r="J13" s="410"/>
      <c r="K13" s="411"/>
      <c r="L13" s="411"/>
      <c r="M13" s="411"/>
      <c r="N13" s="411"/>
      <c r="O13" s="411"/>
      <c r="P13" s="411"/>
      <c r="Q13" s="411"/>
      <c r="R13" s="411"/>
      <c r="S13" s="412"/>
    </row>
    <row r="14" spans="1:28" ht="19.5" customHeight="1" thickTop="1" thickBot="1">
      <c r="A14" s="458" t="s">
        <v>349</v>
      </c>
      <c r="B14" s="458"/>
      <c r="C14" s="9">
        <v>124079.33</v>
      </c>
      <c r="D14" s="9">
        <v>110804.02</v>
      </c>
      <c r="E14" s="124">
        <f t="shared" si="0"/>
        <v>3149.540556029759</v>
      </c>
      <c r="F14" s="125">
        <f t="shared" si="1"/>
        <v>2.8353643350136561</v>
      </c>
      <c r="G14" s="124" t="b">
        <f>C14=[5]FORM.1!F18</f>
        <v>1</v>
      </c>
      <c r="H14" s="274">
        <f>'Receitas 3'!$J$23</f>
        <v>110804.02</v>
      </c>
      <c r="I14" s="167" t="b">
        <f t="shared" si="2"/>
        <v>1</v>
      </c>
    </row>
    <row r="15" spans="1:28" ht="19.5" customHeight="1" thickTop="1" thickBot="1">
      <c r="A15" s="458" t="s">
        <v>53</v>
      </c>
      <c r="B15" s="458"/>
      <c r="C15" s="9">
        <v>53126.960000000006</v>
      </c>
      <c r="D15" s="9">
        <f>34154.05+0</f>
        <v>34154.050000000003</v>
      </c>
      <c r="E15" s="124">
        <f t="shared" si="0"/>
        <v>0</v>
      </c>
      <c r="F15" s="125">
        <f t="shared" si="1"/>
        <v>0.87396806782166525</v>
      </c>
      <c r="G15" s="124" t="b">
        <f>C15=[5]FORM.1!F19</f>
        <v>1</v>
      </c>
      <c r="H15" s="274">
        <f>'Receitas 3'!O24</f>
        <v>34154.050000000003</v>
      </c>
      <c r="I15" s="167" t="b">
        <f t="shared" si="2"/>
        <v>1</v>
      </c>
    </row>
    <row r="16" spans="1:28" ht="19.5" customHeight="1" thickTop="1" thickBot="1">
      <c r="A16" s="457" t="s">
        <v>49</v>
      </c>
      <c r="B16" s="457"/>
      <c r="C16" s="9">
        <v>1375453.08</v>
      </c>
      <c r="D16" s="9">
        <v>1505452.14</v>
      </c>
      <c r="E16" s="124">
        <f t="shared" si="0"/>
        <v>0</v>
      </c>
      <c r="F16" s="125">
        <f t="shared" si="1"/>
        <v>38.523018441262188</v>
      </c>
      <c r="G16" s="124" t="b">
        <f>C16=[5]FORM.1!F20</f>
        <v>1</v>
      </c>
      <c r="H16" s="274">
        <f>'Receitas 3'!$J$74</f>
        <v>1505452.14</v>
      </c>
      <c r="I16" s="167" t="b">
        <f t="shared" si="2"/>
        <v>1</v>
      </c>
    </row>
    <row r="17" spans="1:9" ht="19.5" customHeight="1" thickTop="1" thickBot="1">
      <c r="A17" s="457" t="s">
        <v>115</v>
      </c>
      <c r="B17" s="457"/>
      <c r="C17" s="9">
        <v>164922.47999999998</v>
      </c>
      <c r="D17" s="9">
        <f>183729.85+27441.14+626.88+783.6</f>
        <v>212581.47</v>
      </c>
      <c r="E17" s="124">
        <f t="shared" si="0"/>
        <v>0</v>
      </c>
      <c r="F17" s="125">
        <f t="shared" si="1"/>
        <v>5.4397477485273136</v>
      </c>
      <c r="G17" s="124" t="b">
        <f>C17=[5]FORM.1!F21</f>
        <v>1</v>
      </c>
      <c r="H17" s="303">
        <f>H7-H9-H16-H18-H19</f>
        <v>212581.47000000009</v>
      </c>
      <c r="I17" s="167" t="b">
        <f t="shared" si="2"/>
        <v>1</v>
      </c>
    </row>
    <row r="18" spans="1:9" ht="19.5" customHeight="1" thickTop="1" thickBot="1">
      <c r="A18" s="457" t="s">
        <v>9</v>
      </c>
      <c r="B18" s="457"/>
      <c r="C18" s="9">
        <v>48000</v>
      </c>
      <c r="D18" s="9">
        <v>90852.44</v>
      </c>
      <c r="E18" s="124">
        <f t="shared" si="0"/>
        <v>0</v>
      </c>
      <c r="F18" s="125">
        <f t="shared" si="1"/>
        <v>2.3248233062750616</v>
      </c>
      <c r="G18" s="124" t="b">
        <f>C18=[5]FORM.1!F22</f>
        <v>1</v>
      </c>
      <c r="H18" s="274">
        <f>'Receitas 3'!$J$114</f>
        <v>90852.44</v>
      </c>
      <c r="I18" s="167" t="b">
        <f t="shared" si="2"/>
        <v>1</v>
      </c>
    </row>
    <row r="19" spans="1:9" ht="19.5" customHeight="1" thickTop="1" thickBot="1">
      <c r="A19" s="457" t="s">
        <v>105</v>
      </c>
      <c r="B19" s="457"/>
      <c r="C19" s="9">
        <v>38000</v>
      </c>
      <c r="D19" s="9">
        <f>27826.73+17344.39+940.32</f>
        <v>46111.439999999995</v>
      </c>
      <c r="E19" s="124">
        <f t="shared" si="0"/>
        <v>0</v>
      </c>
      <c r="F19" s="125">
        <f t="shared" si="1"/>
        <v>1.1799457493701229</v>
      </c>
      <c r="G19" s="124" t="b">
        <f>C19=[5]FORM.1!F23</f>
        <v>1</v>
      </c>
      <c r="H19" s="274">
        <f>'Receitas 3'!$J$124</f>
        <v>46111.44</v>
      </c>
      <c r="I19" s="167" t="b">
        <f t="shared" si="2"/>
        <v>1</v>
      </c>
    </row>
    <row r="20" spans="1:9" ht="19.5" customHeight="1" thickTop="1" thickBot="1">
      <c r="A20" s="457" t="s">
        <v>10</v>
      </c>
      <c r="B20" s="457"/>
      <c r="C20" s="9"/>
      <c r="D20" s="9"/>
      <c r="E20" s="124">
        <f t="shared" si="0"/>
        <v>0</v>
      </c>
      <c r="F20" s="125">
        <f t="shared" si="1"/>
        <v>0</v>
      </c>
      <c r="G20" s="124" t="b">
        <f>C20=[5]FORM.1!F24</f>
        <v>1</v>
      </c>
      <c r="H20" s="275"/>
      <c r="I20" s="167" t="b">
        <f t="shared" si="2"/>
        <v>1</v>
      </c>
    </row>
    <row r="21" spans="1:9" ht="19.5" customHeight="1" thickTop="1" thickBot="1">
      <c r="A21" s="455" t="s">
        <v>209</v>
      </c>
      <c r="B21" s="455"/>
      <c r="C21" s="124">
        <f>SUM(C22:C23)</f>
        <v>386000</v>
      </c>
      <c r="D21" s="124">
        <f>SUM(D22:D23)</f>
        <v>0</v>
      </c>
      <c r="E21" s="124">
        <f t="shared" si="0"/>
        <v>0</v>
      </c>
      <c r="F21" s="125">
        <f t="shared" si="1"/>
        <v>0</v>
      </c>
      <c r="G21" s="124" t="b">
        <f>C21=[5]FORM.1!F25</f>
        <v>1</v>
      </c>
      <c r="H21" s="275"/>
      <c r="I21" s="167" t="b">
        <f t="shared" si="2"/>
        <v>1</v>
      </c>
    </row>
    <row r="22" spans="1:9" ht="19.5" customHeight="1" thickTop="1" thickBot="1">
      <c r="A22" s="457" t="s">
        <v>11</v>
      </c>
      <c r="B22" s="457"/>
      <c r="C22" s="14">
        <v>386000</v>
      </c>
      <c r="D22" s="14">
        <v>0</v>
      </c>
      <c r="E22" s="124">
        <f t="shared" si="0"/>
        <v>0</v>
      </c>
      <c r="F22" s="125">
        <f t="shared" si="1"/>
        <v>0</v>
      </c>
      <c r="G22" s="124" t="b">
        <f>C22=[5]FORM.1!F26</f>
        <v>1</v>
      </c>
      <c r="H22" s="275"/>
      <c r="I22" s="167" t="b">
        <f t="shared" si="2"/>
        <v>1</v>
      </c>
    </row>
    <row r="23" spans="1:9" ht="19.5" customHeight="1" thickTop="1" thickBot="1">
      <c r="A23" s="457" t="s">
        <v>104</v>
      </c>
      <c r="B23" s="457"/>
      <c r="C23" s="14"/>
      <c r="D23" s="14"/>
      <c r="E23" s="124">
        <f t="shared" si="0"/>
        <v>0</v>
      </c>
      <c r="F23" s="125">
        <f t="shared" si="1"/>
        <v>0</v>
      </c>
      <c r="G23" s="124" t="b">
        <f>C23=[5]FORM.1!F27</f>
        <v>1</v>
      </c>
      <c r="H23" s="275"/>
      <c r="I23" s="167" t="b">
        <f t="shared" si="2"/>
        <v>1</v>
      </c>
    </row>
    <row r="24" spans="1:9" ht="19.5" customHeight="1" thickTop="1" thickBot="1">
      <c r="A24" s="455" t="s">
        <v>12</v>
      </c>
      <c r="B24" s="455"/>
      <c r="C24" s="124">
        <f>SUM(C7,C21)</f>
        <v>3997383.9200000004</v>
      </c>
      <c r="D24" s="124">
        <f>SUM(D7,D21)</f>
        <v>3907928.82</v>
      </c>
      <c r="E24" s="124">
        <f t="shared" si="0"/>
        <v>0</v>
      </c>
      <c r="F24" s="125">
        <f t="shared" si="1"/>
        <v>100</v>
      </c>
      <c r="G24" s="124" t="b">
        <f>C24=[5]FORM.1!F28</f>
        <v>1</v>
      </c>
      <c r="H24" s="274">
        <f>'Receitas 3'!$J$16</f>
        <v>3907928.82</v>
      </c>
      <c r="I24" s="167" t="b">
        <f>D24=H24</f>
        <v>1</v>
      </c>
    </row>
    <row r="25" spans="1:9" ht="50.25" customHeight="1" thickTop="1">
      <c r="A25" s="130"/>
      <c r="B25" s="130"/>
      <c r="C25" s="131"/>
      <c r="D25" s="131"/>
      <c r="E25" s="131"/>
      <c r="F25" s="132"/>
      <c r="G25" s="132"/>
      <c r="H25" s="132"/>
    </row>
    <row r="27" spans="1:9">
      <c r="A27" s="472" t="s">
        <v>161</v>
      </c>
      <c r="B27" s="473"/>
      <c r="C27" s="473"/>
      <c r="D27" s="473"/>
      <c r="E27" s="473"/>
      <c r="F27" s="474"/>
      <c r="G27" s="236"/>
      <c r="H27" s="249"/>
    </row>
    <row r="28" spans="1:9" ht="72" customHeight="1">
      <c r="A28" s="475"/>
      <c r="B28" s="476"/>
      <c r="C28" s="476"/>
      <c r="D28" s="476"/>
      <c r="E28" s="476"/>
      <c r="F28" s="477"/>
      <c r="G28" s="247"/>
      <c r="H28" s="247"/>
    </row>
  </sheetData>
  <protectedRanges>
    <protectedRange algorithmName="SHA-512" hashValue="oBu0U8UHWW1M9CSBiI+2smTKBuiu7zBMJPASzxaVW3/YfTocFsZXqoNbgPAUiXKweXnE/VLNBYi0YQjO9aRFIA==" saltValue="Uwn4xh4BFhDBBJp6oLNp+A==" spinCount="100000" sqref="J6:J9" name="Indicadores"/>
    <protectedRange algorithmName="SHA-512" hashValue="oBu0U8UHWW1M9CSBiI+2smTKBuiu7zBMJPASzxaVW3/YfTocFsZXqoNbgPAUiXKweXnE/VLNBYi0YQjO9aRFIA==" saltValue="Uwn4xh4BFhDBBJp6oLNp+A==" spinCount="100000" sqref="U5" name="Indicadores_1"/>
  </protectedRanges>
  <mergeCells count="32">
    <mergeCell ref="A21:B21"/>
    <mergeCell ref="G4:G5"/>
    <mergeCell ref="A27:F27"/>
    <mergeCell ref="A28:F28"/>
    <mergeCell ref="A3:D3"/>
    <mergeCell ref="A22:B22"/>
    <mergeCell ref="A11:B11"/>
    <mergeCell ref="A12:B12"/>
    <mergeCell ref="A13:B13"/>
    <mergeCell ref="A23:B23"/>
    <mergeCell ref="A24:B24"/>
    <mergeCell ref="C4:C5"/>
    <mergeCell ref="A16:B16"/>
    <mergeCell ref="A9:B9"/>
    <mergeCell ref="A10:B10"/>
    <mergeCell ref="A19:B19"/>
    <mergeCell ref="A1:F1"/>
    <mergeCell ref="A2:F2"/>
    <mergeCell ref="D4:D5"/>
    <mergeCell ref="A4:B5"/>
    <mergeCell ref="A6:B6"/>
    <mergeCell ref="F4:F5"/>
    <mergeCell ref="A20:B20"/>
    <mergeCell ref="A17:B17"/>
    <mergeCell ref="A18:B18"/>
    <mergeCell ref="A14:B14"/>
    <mergeCell ref="A15:B15"/>
    <mergeCell ref="U5:AB6"/>
    <mergeCell ref="U7:AB9"/>
    <mergeCell ref="J7:S13"/>
    <mergeCell ref="A7:B7"/>
    <mergeCell ref="A8:B8"/>
  </mergeCells>
  <phoneticPr fontId="19" type="noConversion"/>
  <conditionalFormatting sqref="C25:E25">
    <cfRule type="cellIs" dxfId="23" priority="7" operator="equal">
      <formula>TRUE</formula>
    </cfRule>
  </conditionalFormatting>
  <conditionalFormatting sqref="G7:G24">
    <cfRule type="cellIs" dxfId="22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3"/>
  <sheetViews>
    <sheetView workbookViewId="0">
      <selection activeCell="F3" sqref="F3"/>
    </sheetView>
  </sheetViews>
  <sheetFormatPr defaultRowHeight="15"/>
  <cols>
    <col min="1" max="1" width="65" style="234" bestFit="1" customWidth="1"/>
    <col min="2" max="2" width="16.85546875" style="234" bestFit="1" customWidth="1"/>
    <col min="3" max="3" width="21.85546875" style="234" bestFit="1" customWidth="1"/>
    <col min="4" max="4" width="23" style="234" bestFit="1" customWidth="1"/>
    <col min="5" max="5" width="21.42578125" style="234" bestFit="1" customWidth="1"/>
    <col min="6" max="7" width="16.28515625" style="234" bestFit="1" customWidth="1"/>
    <col min="8" max="16384" width="9.140625" style="234"/>
  </cols>
  <sheetData>
    <row r="2" spans="1:5">
      <c r="A2" s="234" t="s">
        <v>577</v>
      </c>
      <c r="B2" s="234" t="s">
        <v>576</v>
      </c>
      <c r="C2" s="234" t="s">
        <v>575</v>
      </c>
      <c r="D2" s="234" t="s">
        <v>574</v>
      </c>
      <c r="E2" s="234" t="s">
        <v>573</v>
      </c>
    </row>
    <row r="3" spans="1:5">
      <c r="A3" s="234" t="s">
        <v>572</v>
      </c>
      <c r="B3" s="234">
        <v>3400176.26</v>
      </c>
      <c r="C3" s="234">
        <v>3611383.92</v>
      </c>
      <c r="D3" s="258">
        <v>3907928.82</v>
      </c>
      <c r="E3" s="234">
        <v>296544.90000000002</v>
      </c>
    </row>
    <row r="4" spans="1:5">
      <c r="A4" s="234" t="s">
        <v>571</v>
      </c>
      <c r="B4" s="234">
        <v>1858725.99</v>
      </c>
      <c r="C4" s="234">
        <v>1985008.36</v>
      </c>
      <c r="D4" s="234">
        <v>2052931.33</v>
      </c>
      <c r="E4" s="234">
        <v>67922.97</v>
      </c>
    </row>
    <row r="5" spans="1:5">
      <c r="A5" s="234" t="s">
        <v>570</v>
      </c>
      <c r="B5" s="234">
        <v>1858725.99</v>
      </c>
      <c r="C5" s="234">
        <v>1985008.36</v>
      </c>
      <c r="D5" s="234">
        <v>2052931.33</v>
      </c>
      <c r="E5" s="234">
        <v>67922.97</v>
      </c>
    </row>
    <row r="6" spans="1:5">
      <c r="A6" s="234" t="s">
        <v>569</v>
      </c>
      <c r="B6" s="234">
        <v>1858725.99</v>
      </c>
      <c r="C6" s="234">
        <v>1985008.36</v>
      </c>
      <c r="D6" s="258">
        <v>2052931.33</v>
      </c>
      <c r="E6" s="234">
        <v>67922.97</v>
      </c>
    </row>
    <row r="7" spans="1:5">
      <c r="A7" s="234" t="s">
        <v>568</v>
      </c>
      <c r="B7" s="234">
        <v>1470790.59</v>
      </c>
      <c r="C7" s="234">
        <v>1502059.5</v>
      </c>
      <c r="D7" s="234">
        <v>1495793.13</v>
      </c>
      <c r="E7" s="234">
        <v>-6266.37</v>
      </c>
    </row>
    <row r="8" spans="1:5">
      <c r="A8" s="234" t="s">
        <v>567</v>
      </c>
      <c r="B8" s="234">
        <v>213725.6</v>
      </c>
      <c r="C8" s="234">
        <v>290742.57</v>
      </c>
      <c r="D8" s="234">
        <v>405357.16</v>
      </c>
      <c r="E8" s="234">
        <v>114614.59</v>
      </c>
    </row>
    <row r="9" spans="1:5">
      <c r="A9" s="234" t="s">
        <v>566</v>
      </c>
      <c r="B9" s="234">
        <v>117484.5</v>
      </c>
      <c r="C9" s="234">
        <v>124079.33</v>
      </c>
      <c r="D9" s="234">
        <v>110804.02</v>
      </c>
      <c r="E9" s="234">
        <v>-13275.31</v>
      </c>
    </row>
    <row r="10" spans="1:5">
      <c r="A10" s="234" t="s">
        <v>565</v>
      </c>
      <c r="B10" s="234">
        <v>40000</v>
      </c>
      <c r="C10" s="234">
        <v>51401.66</v>
      </c>
      <c r="D10" s="234">
        <v>34154.050000000003</v>
      </c>
      <c r="E10" s="234">
        <v>-17247.61</v>
      </c>
    </row>
    <row r="11" spans="1:5">
      <c r="A11" s="234" t="s">
        <v>564</v>
      </c>
      <c r="B11" s="234">
        <v>15000</v>
      </c>
      <c r="C11" s="234">
        <v>15000</v>
      </c>
      <c r="D11" s="234">
        <v>6822.97</v>
      </c>
      <c r="E11" s="234">
        <v>-8177.03</v>
      </c>
    </row>
    <row r="12" spans="1:5">
      <c r="A12" s="234" t="s">
        <v>563</v>
      </c>
      <c r="B12" s="234">
        <v>1725.3</v>
      </c>
      <c r="C12" s="234">
        <v>1725.3</v>
      </c>
      <c r="D12" s="234">
        <v>0</v>
      </c>
      <c r="E12" s="234">
        <v>-1725.3</v>
      </c>
    </row>
    <row r="13" spans="1:5">
      <c r="A13" s="234" t="s">
        <v>562</v>
      </c>
      <c r="B13" s="234">
        <v>1355290.03</v>
      </c>
      <c r="C13" s="234">
        <v>1399463.11</v>
      </c>
      <c r="D13" s="258">
        <v>1534303.76</v>
      </c>
      <c r="E13" s="234">
        <v>134840.65</v>
      </c>
    </row>
    <row r="14" spans="1:5">
      <c r="A14" s="234" t="s">
        <v>561</v>
      </c>
      <c r="B14" s="234">
        <v>0</v>
      </c>
      <c r="C14" s="234">
        <v>0</v>
      </c>
      <c r="D14" s="234">
        <v>626.88</v>
      </c>
      <c r="E14" s="234">
        <v>626.88</v>
      </c>
    </row>
    <row r="15" spans="1:5">
      <c r="A15" s="234" t="s">
        <v>559</v>
      </c>
      <c r="B15" s="234">
        <v>0</v>
      </c>
      <c r="C15" s="234">
        <v>0</v>
      </c>
      <c r="D15" s="234">
        <v>626.88</v>
      </c>
      <c r="E15" s="234">
        <v>626.88</v>
      </c>
    </row>
    <row r="16" spans="1:5">
      <c r="A16" s="234" t="s">
        <v>560</v>
      </c>
      <c r="B16" s="234">
        <v>10000</v>
      </c>
      <c r="C16" s="234">
        <v>10000</v>
      </c>
      <c r="D16" s="234">
        <v>27441.14</v>
      </c>
      <c r="E16" s="234">
        <v>17441.14</v>
      </c>
    </row>
    <row r="17" spans="1:5">
      <c r="A17" s="234" t="s">
        <v>559</v>
      </c>
      <c r="B17" s="234">
        <v>10000</v>
      </c>
      <c r="C17" s="234">
        <v>10000</v>
      </c>
      <c r="D17" s="234">
        <v>27441.14</v>
      </c>
      <c r="E17" s="234">
        <v>17441.14</v>
      </c>
    </row>
    <row r="18" spans="1:5">
      <c r="A18" s="234" t="s">
        <v>558</v>
      </c>
      <c r="B18" s="234">
        <v>1327280</v>
      </c>
      <c r="C18" s="234">
        <v>1375453.08</v>
      </c>
      <c r="D18" s="234">
        <v>1505452.14</v>
      </c>
      <c r="E18" s="234">
        <v>129999.06</v>
      </c>
    </row>
    <row r="19" spans="1:5">
      <c r="A19" s="234" t="s">
        <v>557</v>
      </c>
      <c r="B19" s="234">
        <v>1327280</v>
      </c>
      <c r="C19" s="234">
        <v>1375453.08</v>
      </c>
      <c r="D19" s="234">
        <v>1505452.14</v>
      </c>
      <c r="E19" s="234">
        <v>129999.06</v>
      </c>
    </row>
    <row r="20" spans="1:5">
      <c r="A20" s="234" t="s">
        <v>556</v>
      </c>
      <c r="B20" s="234">
        <v>3000</v>
      </c>
      <c r="C20" s="234">
        <v>3000</v>
      </c>
      <c r="D20" s="234">
        <v>783.6</v>
      </c>
      <c r="E20" s="234">
        <v>-2216.4</v>
      </c>
    </row>
    <row r="21" spans="1:5">
      <c r="A21" s="234" t="s">
        <v>555</v>
      </c>
      <c r="B21" s="234">
        <v>3000</v>
      </c>
      <c r="C21" s="234">
        <v>3000</v>
      </c>
      <c r="D21" s="234">
        <v>783.6</v>
      </c>
      <c r="E21" s="234">
        <v>-2216.4</v>
      </c>
    </row>
    <row r="22" spans="1:5">
      <c r="A22" s="234" t="s">
        <v>547</v>
      </c>
      <c r="B22" s="234">
        <v>15010.03</v>
      </c>
      <c r="C22" s="234">
        <v>11010.03</v>
      </c>
      <c r="D22" s="258">
        <v>0</v>
      </c>
      <c r="E22" s="234">
        <v>-11010.03</v>
      </c>
    </row>
    <row r="23" spans="1:5">
      <c r="A23" s="234" t="s">
        <v>554</v>
      </c>
      <c r="B23" s="234">
        <v>15010.03</v>
      </c>
      <c r="C23" s="234">
        <v>11010.03</v>
      </c>
      <c r="D23" s="234">
        <v>0</v>
      </c>
      <c r="E23" s="234">
        <v>-11010.03</v>
      </c>
    </row>
    <row r="24" spans="1:5">
      <c r="A24" s="234" t="s">
        <v>553</v>
      </c>
      <c r="B24" s="234">
        <v>168800</v>
      </c>
      <c r="C24" s="234">
        <v>209552.21</v>
      </c>
      <c r="D24" s="234">
        <v>274582.28999999998</v>
      </c>
      <c r="E24" s="234">
        <v>65030.080000000002</v>
      </c>
    </row>
    <row r="25" spans="1:5">
      <c r="A25" s="234" t="s">
        <v>552</v>
      </c>
      <c r="B25" s="234">
        <v>140000</v>
      </c>
      <c r="C25" s="234">
        <v>161552.21</v>
      </c>
      <c r="D25" s="234">
        <v>183729.85</v>
      </c>
      <c r="E25" s="234">
        <v>22177.64</v>
      </c>
    </row>
    <row r="26" spans="1:5">
      <c r="A26" s="234" t="s">
        <v>551</v>
      </c>
      <c r="B26" s="234">
        <v>140000</v>
      </c>
      <c r="C26" s="234">
        <v>161552.21</v>
      </c>
      <c r="D26" s="234">
        <v>183729.85</v>
      </c>
      <c r="E26" s="234">
        <v>22177.64</v>
      </c>
    </row>
    <row r="27" spans="1:5">
      <c r="A27" s="234" t="s">
        <v>550</v>
      </c>
      <c r="B27" s="234">
        <v>28800</v>
      </c>
      <c r="C27" s="234">
        <v>48000</v>
      </c>
      <c r="D27" s="234">
        <v>90852.44</v>
      </c>
      <c r="E27" s="234">
        <v>42852.44</v>
      </c>
    </row>
    <row r="28" spans="1:5">
      <c r="A28" s="234" t="s">
        <v>549</v>
      </c>
      <c r="B28" s="234">
        <v>28800</v>
      </c>
      <c r="C28" s="234">
        <v>48000</v>
      </c>
      <c r="D28" s="258">
        <v>90852.44</v>
      </c>
      <c r="E28" s="234">
        <v>42852.44</v>
      </c>
    </row>
    <row r="29" spans="1:5">
      <c r="A29" s="234" t="s">
        <v>548</v>
      </c>
      <c r="B29" s="234">
        <v>28800</v>
      </c>
      <c r="C29" s="234">
        <v>48000</v>
      </c>
      <c r="D29" s="234">
        <v>90852.44</v>
      </c>
      <c r="E29" s="234">
        <v>42852.44</v>
      </c>
    </row>
    <row r="30" spans="1:5">
      <c r="A30" s="234" t="s">
        <v>547</v>
      </c>
      <c r="B30" s="234">
        <v>17360.240000000002</v>
      </c>
      <c r="C30" s="234">
        <v>17360.240000000002</v>
      </c>
      <c r="D30" s="234">
        <v>46111.44</v>
      </c>
      <c r="E30" s="234">
        <v>28751.200000000001</v>
      </c>
    </row>
    <row r="31" spans="1:5">
      <c r="A31" s="234" t="s">
        <v>546</v>
      </c>
      <c r="B31" s="234">
        <v>0</v>
      </c>
      <c r="C31" s="234">
        <v>0</v>
      </c>
      <c r="D31" s="234">
        <v>940.32</v>
      </c>
      <c r="E31" s="234">
        <v>940.32</v>
      </c>
    </row>
    <row r="32" spans="1:5">
      <c r="A32" s="234" t="s">
        <v>545</v>
      </c>
      <c r="B32" s="234">
        <v>0</v>
      </c>
      <c r="C32" s="234">
        <v>0</v>
      </c>
      <c r="D32" s="234">
        <v>940.32</v>
      </c>
      <c r="E32" s="234">
        <v>940.32</v>
      </c>
    </row>
    <row r="33" spans="1:7">
      <c r="A33" s="234" t="s">
        <v>544</v>
      </c>
      <c r="B33" s="234">
        <v>3370.27</v>
      </c>
      <c r="C33" s="234">
        <v>3370.27</v>
      </c>
      <c r="D33" s="234">
        <v>0</v>
      </c>
      <c r="E33" s="234">
        <v>-3370.27</v>
      </c>
    </row>
    <row r="34" spans="1:7">
      <c r="A34" s="234" t="s">
        <v>543</v>
      </c>
      <c r="B34" s="234">
        <v>3370.27</v>
      </c>
      <c r="C34" s="234">
        <v>3370.27</v>
      </c>
      <c r="D34" s="234">
        <v>0</v>
      </c>
      <c r="E34" s="234">
        <v>-3370.27</v>
      </c>
    </row>
    <row r="35" spans="1:7">
      <c r="A35" s="234" t="s">
        <v>542</v>
      </c>
      <c r="B35" s="234">
        <v>13989.97</v>
      </c>
      <c r="C35" s="234">
        <v>13989.97</v>
      </c>
      <c r="D35" s="234">
        <v>27826.73</v>
      </c>
      <c r="E35" s="234">
        <v>13836.76</v>
      </c>
    </row>
    <row r="36" spans="1:7">
      <c r="A36" s="234" t="s">
        <v>541</v>
      </c>
      <c r="B36" s="234">
        <v>13989.97</v>
      </c>
      <c r="C36" s="234">
        <v>13989.97</v>
      </c>
      <c r="D36" s="234">
        <v>27826.73</v>
      </c>
      <c r="E36" s="234">
        <v>13836.76</v>
      </c>
    </row>
    <row r="37" spans="1:7">
      <c r="A37" s="234" t="s">
        <v>540</v>
      </c>
      <c r="B37" s="234">
        <v>0</v>
      </c>
      <c r="C37" s="234">
        <v>0</v>
      </c>
      <c r="D37" s="234">
        <v>17344.39</v>
      </c>
      <c r="E37" s="234">
        <v>17344.39</v>
      </c>
    </row>
    <row r="38" spans="1:7">
      <c r="A38" s="234" t="s">
        <v>539</v>
      </c>
      <c r="B38" s="234">
        <v>0</v>
      </c>
      <c r="C38" s="234">
        <v>0</v>
      </c>
      <c r="D38" s="234">
        <v>17344.39</v>
      </c>
      <c r="E38" s="234">
        <v>17344.39</v>
      </c>
    </row>
    <row r="39" spans="1:7">
      <c r="A39" s="234" t="s">
        <v>538</v>
      </c>
      <c r="B39" s="234">
        <v>72000</v>
      </c>
      <c r="C39" s="234">
        <v>386000</v>
      </c>
      <c r="D39" s="234">
        <v>0</v>
      </c>
      <c r="E39" s="234">
        <v>-386000</v>
      </c>
    </row>
    <row r="40" spans="1:7">
      <c r="A40" s="234" t="s">
        <v>537</v>
      </c>
      <c r="B40" s="234">
        <v>72000</v>
      </c>
      <c r="C40" s="234">
        <v>386000</v>
      </c>
      <c r="D40" s="234">
        <v>0</v>
      </c>
      <c r="E40" s="234">
        <v>-386000</v>
      </c>
    </row>
    <row r="41" spans="1:7">
      <c r="A41" s="234" t="s">
        <v>536</v>
      </c>
      <c r="B41" s="234">
        <v>72000</v>
      </c>
      <c r="C41" s="234">
        <v>386000</v>
      </c>
      <c r="D41" s="234">
        <v>0</v>
      </c>
      <c r="E41" s="234">
        <v>-386000</v>
      </c>
    </row>
    <row r="42" spans="1:7">
      <c r="A42" s="234" t="s">
        <v>535</v>
      </c>
      <c r="B42" s="234">
        <v>72000</v>
      </c>
      <c r="C42" s="234">
        <v>386000</v>
      </c>
      <c r="D42" s="234">
        <v>0</v>
      </c>
      <c r="E42" s="234">
        <v>-386000</v>
      </c>
    </row>
    <row r="43" spans="1:7">
      <c r="A43" s="234" t="s">
        <v>534</v>
      </c>
      <c r="B43" s="234">
        <v>0</v>
      </c>
      <c r="C43" s="234">
        <v>0</v>
      </c>
      <c r="D43" s="234">
        <v>0</v>
      </c>
      <c r="E43" s="234">
        <v>0</v>
      </c>
    </row>
    <row r="44" spans="1:7">
      <c r="A44" s="234" t="s">
        <v>533</v>
      </c>
      <c r="B44" s="234">
        <v>3472176.26</v>
      </c>
      <c r="C44" s="234">
        <v>3997383.92</v>
      </c>
      <c r="D44" s="234">
        <v>3907928.82</v>
      </c>
      <c r="E44" s="234">
        <v>-89455.1</v>
      </c>
    </row>
    <row r="45" spans="1:7">
      <c r="A45" s="234" t="s">
        <v>532</v>
      </c>
      <c r="B45" s="234">
        <v>0</v>
      </c>
      <c r="C45" s="234">
        <v>0</v>
      </c>
      <c r="D45" s="234">
        <v>0</v>
      </c>
      <c r="E45" s="234">
        <v>0</v>
      </c>
    </row>
    <row r="46" spans="1:7">
      <c r="A46" s="234" t="s">
        <v>3</v>
      </c>
      <c r="B46" s="234">
        <v>3472176.26</v>
      </c>
      <c r="C46" s="234">
        <v>3997383.92</v>
      </c>
      <c r="D46" s="234">
        <v>3907928.82</v>
      </c>
      <c r="E46" s="234">
        <v>-89455.1</v>
      </c>
    </row>
    <row r="48" spans="1:7">
      <c r="A48" s="234" t="s">
        <v>531</v>
      </c>
      <c r="B48" s="234" t="s">
        <v>530</v>
      </c>
      <c r="C48" s="234" t="s">
        <v>529</v>
      </c>
      <c r="D48" s="234" t="s">
        <v>528</v>
      </c>
      <c r="E48" s="234" t="s">
        <v>527</v>
      </c>
      <c r="F48" s="234" t="s">
        <v>526</v>
      </c>
      <c r="G48" s="234" t="s">
        <v>525</v>
      </c>
    </row>
    <row r="49" spans="1:7">
      <c r="A49" s="234" t="s">
        <v>524</v>
      </c>
      <c r="B49" s="234">
        <v>3363966.35</v>
      </c>
      <c r="C49" s="234">
        <v>3667145.36</v>
      </c>
      <c r="D49" s="234">
        <v>3529795.41</v>
      </c>
      <c r="E49" s="234">
        <v>3264013.88</v>
      </c>
      <c r="F49" s="234">
        <v>3263617.98</v>
      </c>
      <c r="G49" s="234">
        <v>137349.95000000001</v>
      </c>
    </row>
    <row r="50" spans="1:7">
      <c r="A50" s="234" t="s">
        <v>523</v>
      </c>
      <c r="B50" s="234">
        <v>2110611.7799999998</v>
      </c>
      <c r="C50" s="234">
        <v>2097401.77</v>
      </c>
      <c r="D50" s="234">
        <v>2089706.04</v>
      </c>
      <c r="E50" s="234">
        <v>2089706.04</v>
      </c>
      <c r="F50" s="234">
        <v>2089706.04</v>
      </c>
      <c r="G50" s="234">
        <v>7695.73</v>
      </c>
    </row>
    <row r="51" spans="1:7">
      <c r="A51" s="234" t="s">
        <v>522</v>
      </c>
      <c r="B51" s="234">
        <v>2110611.7799999998</v>
      </c>
      <c r="C51" s="234">
        <v>2097401.77</v>
      </c>
      <c r="D51" s="234">
        <v>2089706.04</v>
      </c>
      <c r="E51" s="234">
        <v>2089706.04</v>
      </c>
      <c r="F51" s="234">
        <v>2089706.04</v>
      </c>
      <c r="G51" s="234">
        <v>7695.73</v>
      </c>
    </row>
    <row r="52" spans="1:7">
      <c r="A52" s="234" t="s">
        <v>521</v>
      </c>
      <c r="B52" s="234">
        <v>1432397.97</v>
      </c>
      <c r="C52" s="234">
        <v>1412760.89</v>
      </c>
      <c r="D52" s="234">
        <v>1411230.14</v>
      </c>
      <c r="E52" s="234">
        <v>1411230.14</v>
      </c>
      <c r="F52" s="234">
        <v>1411230.14</v>
      </c>
      <c r="G52" s="234">
        <v>1530.75</v>
      </c>
    </row>
    <row r="53" spans="1:7">
      <c r="A53" s="234" t="s">
        <v>520</v>
      </c>
      <c r="B53" s="234">
        <v>1164872.6000000001</v>
      </c>
      <c r="C53" s="234">
        <v>1189275.49</v>
      </c>
      <c r="D53" s="234">
        <v>1187744.77</v>
      </c>
      <c r="E53" s="234">
        <v>1187744.77</v>
      </c>
      <c r="F53" s="234">
        <v>1187744.77</v>
      </c>
      <c r="G53" s="234">
        <v>1530.72</v>
      </c>
    </row>
    <row r="54" spans="1:7">
      <c r="A54" s="234" t="s">
        <v>519</v>
      </c>
      <c r="B54" s="234">
        <v>16403.95</v>
      </c>
      <c r="C54" s="234">
        <v>0</v>
      </c>
      <c r="D54" s="234">
        <v>0</v>
      </c>
      <c r="E54" s="234">
        <v>0</v>
      </c>
      <c r="F54" s="234">
        <v>0</v>
      </c>
      <c r="G54" s="234">
        <v>0</v>
      </c>
    </row>
    <row r="55" spans="1:7">
      <c r="A55" s="234" t="s">
        <v>518</v>
      </c>
      <c r="B55" s="234">
        <v>107421.42</v>
      </c>
      <c r="C55" s="234">
        <v>108674.12</v>
      </c>
      <c r="D55" s="234">
        <v>108674.09</v>
      </c>
      <c r="E55" s="234">
        <v>108674.09</v>
      </c>
      <c r="F55" s="234">
        <v>108674.09</v>
      </c>
      <c r="G55" s="234">
        <v>0.03</v>
      </c>
    </row>
    <row r="56" spans="1:7">
      <c r="A56" s="234" t="s">
        <v>517</v>
      </c>
      <c r="B56" s="234">
        <v>107775</v>
      </c>
      <c r="C56" s="234">
        <v>76347.45</v>
      </c>
      <c r="D56" s="234">
        <v>76347.45</v>
      </c>
      <c r="E56" s="234">
        <v>76347.45</v>
      </c>
      <c r="F56" s="234">
        <v>76347.45</v>
      </c>
      <c r="G56" s="234">
        <v>0</v>
      </c>
    </row>
    <row r="57" spans="1:7">
      <c r="A57" s="234" t="s">
        <v>516</v>
      </c>
      <c r="B57" s="234">
        <v>35925</v>
      </c>
      <c r="C57" s="234">
        <v>25449.16</v>
      </c>
      <c r="D57" s="234">
        <v>25449.16</v>
      </c>
      <c r="E57" s="234">
        <v>25449.16</v>
      </c>
      <c r="F57" s="234">
        <v>25449.16</v>
      </c>
      <c r="G57" s="234">
        <v>0</v>
      </c>
    </row>
    <row r="58" spans="1:7">
      <c r="A58" s="234" t="s">
        <v>515</v>
      </c>
      <c r="B58" s="234">
        <v>0</v>
      </c>
      <c r="C58" s="234">
        <v>13014.67</v>
      </c>
      <c r="D58" s="234">
        <v>13014.67</v>
      </c>
      <c r="E58" s="234">
        <v>13014.67</v>
      </c>
      <c r="F58" s="234">
        <v>13014.67</v>
      </c>
      <c r="G58" s="234">
        <v>0</v>
      </c>
    </row>
    <row r="59" spans="1:7">
      <c r="A59" s="234" t="s">
        <v>514</v>
      </c>
      <c r="B59" s="234">
        <v>436881.38</v>
      </c>
      <c r="C59" s="234">
        <v>437886.45</v>
      </c>
      <c r="D59" s="234">
        <v>433304.07</v>
      </c>
      <c r="E59" s="234">
        <v>433304.07</v>
      </c>
      <c r="F59" s="234">
        <v>433304.07</v>
      </c>
      <c r="G59" s="234">
        <v>4582.38</v>
      </c>
    </row>
    <row r="60" spans="1:7">
      <c r="A60" s="234" t="s">
        <v>513</v>
      </c>
      <c r="B60" s="234">
        <v>307965.56</v>
      </c>
      <c r="C60" s="234">
        <v>308674.05</v>
      </c>
      <c r="D60" s="234">
        <v>305361.88</v>
      </c>
      <c r="E60" s="234">
        <v>305361.88</v>
      </c>
      <c r="F60" s="234">
        <v>305361.88</v>
      </c>
      <c r="G60" s="234">
        <v>3312.17</v>
      </c>
    </row>
    <row r="61" spans="1:7">
      <c r="A61" s="234" t="s">
        <v>512</v>
      </c>
      <c r="B61" s="234">
        <v>114591.84</v>
      </c>
      <c r="C61" s="234">
        <v>114855.46</v>
      </c>
      <c r="D61" s="234">
        <v>113770.95</v>
      </c>
      <c r="E61" s="234">
        <v>113770.95</v>
      </c>
      <c r="F61" s="234">
        <v>113770.95</v>
      </c>
      <c r="G61" s="234">
        <v>1084.51</v>
      </c>
    </row>
    <row r="62" spans="1:7">
      <c r="A62" s="234" t="s">
        <v>511</v>
      </c>
      <c r="B62" s="234">
        <v>14323.98</v>
      </c>
      <c r="C62" s="234">
        <v>14356.94</v>
      </c>
      <c r="D62" s="234">
        <v>14171.24</v>
      </c>
      <c r="E62" s="234">
        <v>14171.24</v>
      </c>
      <c r="F62" s="234">
        <v>14171.24</v>
      </c>
      <c r="G62" s="234">
        <v>185.7</v>
      </c>
    </row>
    <row r="63" spans="1:7">
      <c r="A63" s="234" t="s">
        <v>510</v>
      </c>
      <c r="B63" s="234">
        <v>241332.43</v>
      </c>
      <c r="C63" s="234">
        <v>246754.43</v>
      </c>
      <c r="D63" s="234">
        <v>245171.83</v>
      </c>
      <c r="E63" s="234">
        <v>245171.83</v>
      </c>
      <c r="F63" s="234">
        <v>245171.83</v>
      </c>
      <c r="G63" s="234">
        <v>1582.6</v>
      </c>
    </row>
    <row r="64" spans="1:7">
      <c r="A64" s="234" t="s">
        <v>509</v>
      </c>
      <c r="B64" s="234">
        <v>3638.6</v>
      </c>
      <c r="C64" s="234">
        <v>1752</v>
      </c>
      <c r="D64" s="234">
        <v>169.4</v>
      </c>
      <c r="E64" s="234">
        <v>169.4</v>
      </c>
      <c r="F64" s="234">
        <v>169.4</v>
      </c>
      <c r="G64" s="234">
        <v>1582.6</v>
      </c>
    </row>
    <row r="65" spans="1:7">
      <c r="A65" s="234" t="s">
        <v>508</v>
      </c>
      <c r="B65" s="234">
        <v>225933.83</v>
      </c>
      <c r="C65" s="234">
        <v>242861.77</v>
      </c>
      <c r="D65" s="234">
        <v>242861.77</v>
      </c>
      <c r="E65" s="234">
        <v>242861.77</v>
      </c>
      <c r="F65" s="234">
        <v>242861.77</v>
      </c>
      <c r="G65" s="234">
        <v>0</v>
      </c>
    </row>
    <row r="66" spans="1:7">
      <c r="A66" s="234" t="s">
        <v>507</v>
      </c>
      <c r="B66" s="234">
        <v>11760</v>
      </c>
      <c r="C66" s="234">
        <v>2140.66</v>
      </c>
      <c r="D66" s="234">
        <v>2140.66</v>
      </c>
      <c r="E66" s="234">
        <v>2140.66</v>
      </c>
      <c r="F66" s="234">
        <v>2140.66</v>
      </c>
      <c r="G66" s="234">
        <v>0</v>
      </c>
    </row>
    <row r="67" spans="1:7">
      <c r="A67" s="234" t="s">
        <v>506</v>
      </c>
      <c r="B67" s="234">
        <v>71000</v>
      </c>
      <c r="C67" s="234">
        <v>55915.08</v>
      </c>
      <c r="D67" s="234">
        <v>31528.65</v>
      </c>
      <c r="E67" s="234">
        <v>31528.65</v>
      </c>
      <c r="F67" s="234">
        <v>31132.75</v>
      </c>
      <c r="G67" s="234">
        <v>24386.43</v>
      </c>
    </row>
    <row r="68" spans="1:7">
      <c r="A68" s="234" t="s">
        <v>506</v>
      </c>
      <c r="B68" s="234">
        <v>71000</v>
      </c>
      <c r="C68" s="234">
        <v>55915.08</v>
      </c>
      <c r="D68" s="234">
        <v>31528.65</v>
      </c>
      <c r="E68" s="234">
        <v>31528.65</v>
      </c>
      <c r="F68" s="234">
        <v>31132.75</v>
      </c>
      <c r="G68" s="234">
        <v>24386.43</v>
      </c>
    </row>
    <row r="69" spans="1:7">
      <c r="A69" s="234" t="s">
        <v>505</v>
      </c>
      <c r="B69" s="234">
        <v>8000</v>
      </c>
      <c r="C69" s="234">
        <v>15000</v>
      </c>
      <c r="D69" s="234">
        <v>0</v>
      </c>
      <c r="E69" s="234">
        <v>0</v>
      </c>
      <c r="F69" s="234">
        <v>0</v>
      </c>
      <c r="G69" s="234">
        <v>15000</v>
      </c>
    </row>
    <row r="70" spans="1:7">
      <c r="A70" s="234" t="s">
        <v>504</v>
      </c>
      <c r="B70" s="234">
        <v>10000</v>
      </c>
      <c r="C70" s="234">
        <v>10000</v>
      </c>
      <c r="D70" s="234">
        <v>5938.7</v>
      </c>
      <c r="E70" s="234">
        <v>5938.7</v>
      </c>
      <c r="F70" s="234">
        <v>5542.8</v>
      </c>
      <c r="G70" s="234">
        <v>4061.3</v>
      </c>
    </row>
    <row r="71" spans="1:7">
      <c r="A71" s="234" t="s">
        <v>503</v>
      </c>
      <c r="B71" s="234">
        <v>45000</v>
      </c>
      <c r="C71" s="234">
        <v>23552.28</v>
      </c>
      <c r="D71" s="234">
        <v>23552.28</v>
      </c>
      <c r="E71" s="234">
        <v>23552.28</v>
      </c>
      <c r="F71" s="234">
        <v>23552.28</v>
      </c>
      <c r="G71" s="234">
        <v>0</v>
      </c>
    </row>
    <row r="72" spans="1:7">
      <c r="A72" s="234" t="s">
        <v>502</v>
      </c>
      <c r="B72" s="234">
        <v>2000</v>
      </c>
      <c r="C72" s="234">
        <v>1362.8</v>
      </c>
      <c r="D72" s="234">
        <v>0</v>
      </c>
      <c r="E72" s="234">
        <v>0</v>
      </c>
      <c r="F72" s="234">
        <v>0</v>
      </c>
      <c r="G72" s="234">
        <v>1362.8</v>
      </c>
    </row>
    <row r="73" spans="1:7">
      <c r="A73" s="234" t="s">
        <v>501</v>
      </c>
      <c r="B73" s="234">
        <v>6000</v>
      </c>
      <c r="C73" s="234">
        <v>6000</v>
      </c>
      <c r="D73" s="234">
        <v>2037.67</v>
      </c>
      <c r="E73" s="234">
        <v>2037.67</v>
      </c>
      <c r="F73" s="234">
        <v>2037.67</v>
      </c>
      <c r="G73" s="234">
        <v>3962.33</v>
      </c>
    </row>
    <row r="74" spans="1:7">
      <c r="A74" s="234" t="s">
        <v>500</v>
      </c>
      <c r="B74" s="234">
        <v>71000</v>
      </c>
      <c r="C74" s="234">
        <v>60634</v>
      </c>
      <c r="D74" s="234">
        <v>51114</v>
      </c>
      <c r="E74" s="234">
        <v>36189</v>
      </c>
      <c r="F74" s="234">
        <v>36189</v>
      </c>
      <c r="G74" s="234">
        <v>9520</v>
      </c>
    </row>
    <row r="75" spans="1:7">
      <c r="A75" s="234" t="s">
        <v>499</v>
      </c>
      <c r="B75" s="234">
        <v>45600</v>
      </c>
      <c r="C75" s="234">
        <v>45081</v>
      </c>
      <c r="D75" s="234">
        <v>45081</v>
      </c>
      <c r="E75" s="234">
        <v>30156</v>
      </c>
      <c r="F75" s="234">
        <v>30156</v>
      </c>
      <c r="G75" s="234">
        <v>0</v>
      </c>
    </row>
    <row r="76" spans="1:7">
      <c r="A76" s="234" t="s">
        <v>498</v>
      </c>
      <c r="B76" s="234">
        <v>45600</v>
      </c>
      <c r="C76" s="234">
        <v>30156</v>
      </c>
      <c r="D76" s="234">
        <v>30156</v>
      </c>
      <c r="E76" s="234">
        <v>30156</v>
      </c>
      <c r="F76" s="234">
        <v>30156</v>
      </c>
      <c r="G76" s="234">
        <v>0</v>
      </c>
    </row>
    <row r="77" spans="1:7">
      <c r="A77" s="234" t="s">
        <v>497</v>
      </c>
      <c r="B77" s="234">
        <v>0</v>
      </c>
      <c r="C77" s="234">
        <v>14925</v>
      </c>
      <c r="D77" s="234">
        <v>14925</v>
      </c>
      <c r="E77" s="234">
        <v>0</v>
      </c>
      <c r="F77" s="234">
        <v>0</v>
      </c>
      <c r="G77" s="234">
        <v>0</v>
      </c>
    </row>
    <row r="78" spans="1:7">
      <c r="A78" s="234" t="s">
        <v>496</v>
      </c>
      <c r="B78" s="234">
        <v>25400</v>
      </c>
      <c r="C78" s="234">
        <v>15553</v>
      </c>
      <c r="D78" s="234">
        <v>6033</v>
      </c>
      <c r="E78" s="234">
        <v>6033</v>
      </c>
      <c r="F78" s="234">
        <v>6033</v>
      </c>
      <c r="G78" s="234">
        <v>9520</v>
      </c>
    </row>
    <row r="79" spans="1:7">
      <c r="A79" s="234" t="s">
        <v>495</v>
      </c>
      <c r="B79" s="234">
        <v>15400</v>
      </c>
      <c r="C79" s="234">
        <v>5553</v>
      </c>
      <c r="D79" s="234">
        <v>5553</v>
      </c>
      <c r="E79" s="234">
        <v>5553</v>
      </c>
      <c r="F79" s="234">
        <v>5553</v>
      </c>
      <c r="G79" s="234">
        <v>0</v>
      </c>
    </row>
    <row r="80" spans="1:7">
      <c r="A80" s="234" t="s">
        <v>494</v>
      </c>
      <c r="B80" s="234">
        <v>10000</v>
      </c>
      <c r="C80" s="234">
        <v>10000</v>
      </c>
      <c r="D80" s="234">
        <v>480</v>
      </c>
      <c r="E80" s="234">
        <v>480</v>
      </c>
      <c r="F80" s="234">
        <v>480</v>
      </c>
      <c r="G80" s="234">
        <v>9520</v>
      </c>
    </row>
    <row r="81" spans="1:7">
      <c r="A81" s="234" t="s">
        <v>493</v>
      </c>
      <c r="B81" s="234">
        <v>633210.35</v>
      </c>
      <c r="C81" s="234">
        <v>826048.65</v>
      </c>
      <c r="D81" s="234">
        <v>743838.1</v>
      </c>
      <c r="E81" s="234">
        <v>643431.56999999995</v>
      </c>
      <c r="F81" s="234">
        <v>643431.56999999995</v>
      </c>
      <c r="G81" s="234">
        <v>82210.55</v>
      </c>
    </row>
    <row r="82" spans="1:7">
      <c r="A82" s="234" t="s">
        <v>492</v>
      </c>
      <c r="B82" s="234">
        <v>0</v>
      </c>
      <c r="C82" s="234">
        <v>12756</v>
      </c>
      <c r="D82" s="234">
        <v>12756</v>
      </c>
      <c r="E82" s="234">
        <v>0</v>
      </c>
      <c r="F82" s="234">
        <v>0</v>
      </c>
      <c r="G82" s="234">
        <v>0</v>
      </c>
    </row>
    <row r="83" spans="1:7">
      <c r="A83" s="234" t="s">
        <v>491</v>
      </c>
      <c r="B83" s="234">
        <v>0</v>
      </c>
      <c r="C83" s="234">
        <v>12756</v>
      </c>
      <c r="D83" s="234">
        <v>12756</v>
      </c>
      <c r="E83" s="234">
        <v>0</v>
      </c>
      <c r="F83" s="234">
        <v>0</v>
      </c>
      <c r="G83" s="234">
        <v>0</v>
      </c>
    </row>
    <row r="84" spans="1:7">
      <c r="A84" s="234" t="s">
        <v>490</v>
      </c>
      <c r="B84" s="234">
        <v>29780.81</v>
      </c>
      <c r="C84" s="234">
        <v>50000</v>
      </c>
      <c r="D84" s="234">
        <v>7037.52</v>
      </c>
      <c r="E84" s="234">
        <v>7037.52</v>
      </c>
      <c r="F84" s="234">
        <v>7037.52</v>
      </c>
      <c r="G84" s="234">
        <v>42962.48</v>
      </c>
    </row>
    <row r="85" spans="1:7">
      <c r="A85" s="234" t="s">
        <v>489</v>
      </c>
      <c r="B85" s="234">
        <v>29780.81</v>
      </c>
      <c r="C85" s="234">
        <v>50000</v>
      </c>
      <c r="D85" s="234">
        <v>7037.52</v>
      </c>
      <c r="E85" s="234">
        <v>7037.52</v>
      </c>
      <c r="F85" s="234">
        <v>7037.52</v>
      </c>
      <c r="G85" s="234">
        <v>42962.48</v>
      </c>
    </row>
    <row r="86" spans="1:7">
      <c r="A86" s="234" t="s">
        <v>488</v>
      </c>
      <c r="B86" s="234">
        <v>577229.54</v>
      </c>
      <c r="C86" s="234">
        <v>748802.65</v>
      </c>
      <c r="D86" s="234">
        <v>710095.55</v>
      </c>
      <c r="E86" s="234">
        <v>622445.02</v>
      </c>
      <c r="F86" s="234">
        <v>622445.02</v>
      </c>
      <c r="G86" s="234">
        <v>38707.1</v>
      </c>
    </row>
    <row r="87" spans="1:7">
      <c r="A87" s="234" t="s">
        <v>487</v>
      </c>
      <c r="B87" s="234">
        <v>1000</v>
      </c>
      <c r="C87" s="234">
        <v>1000</v>
      </c>
      <c r="D87" s="234">
        <v>780</v>
      </c>
      <c r="E87" s="234">
        <v>715</v>
      </c>
      <c r="F87" s="234">
        <v>715</v>
      </c>
      <c r="G87" s="234">
        <v>220</v>
      </c>
    </row>
    <row r="88" spans="1:7">
      <c r="A88" s="234" t="s">
        <v>486</v>
      </c>
      <c r="B88" s="234">
        <v>25000</v>
      </c>
      <c r="C88" s="234">
        <v>35520</v>
      </c>
      <c r="D88" s="234">
        <v>33296.199999999997</v>
      </c>
      <c r="E88" s="234">
        <v>33296.199999999997</v>
      </c>
      <c r="F88" s="234">
        <v>33296.199999999997</v>
      </c>
      <c r="G88" s="234">
        <v>2223.8000000000002</v>
      </c>
    </row>
    <row r="89" spans="1:7">
      <c r="A89" s="234" t="s">
        <v>485</v>
      </c>
      <c r="B89" s="234">
        <v>1680</v>
      </c>
      <c r="C89" s="234">
        <v>1643</v>
      </c>
      <c r="D89" s="234">
        <v>1500</v>
      </c>
      <c r="E89" s="234">
        <v>1264.6600000000001</v>
      </c>
      <c r="F89" s="234">
        <v>1264.6600000000001</v>
      </c>
      <c r="G89" s="234">
        <v>143</v>
      </c>
    </row>
    <row r="90" spans="1:7">
      <c r="A90" s="234" t="s">
        <v>484</v>
      </c>
      <c r="B90" s="234">
        <v>5000</v>
      </c>
      <c r="C90" s="234">
        <v>0</v>
      </c>
      <c r="D90" s="234">
        <v>0</v>
      </c>
      <c r="E90" s="234">
        <v>0</v>
      </c>
      <c r="F90" s="234">
        <v>0</v>
      </c>
      <c r="G90" s="234">
        <v>0</v>
      </c>
    </row>
    <row r="91" spans="1:7">
      <c r="A91" s="234" t="s">
        <v>483</v>
      </c>
      <c r="B91" s="234">
        <v>211400</v>
      </c>
      <c r="C91" s="234">
        <v>220939.55</v>
      </c>
      <c r="D91" s="234">
        <v>220819.13</v>
      </c>
      <c r="E91" s="234">
        <v>172005.82</v>
      </c>
      <c r="F91" s="234">
        <v>172005.82</v>
      </c>
      <c r="G91" s="234">
        <v>120.42</v>
      </c>
    </row>
    <row r="92" spans="1:7">
      <c r="A92" s="234" t="s">
        <v>482</v>
      </c>
      <c r="B92" s="234">
        <v>1500</v>
      </c>
      <c r="C92" s="234">
        <v>1500</v>
      </c>
      <c r="D92" s="234">
        <v>843.63</v>
      </c>
      <c r="E92" s="234">
        <v>843.63</v>
      </c>
      <c r="F92" s="234">
        <v>843.63</v>
      </c>
      <c r="G92" s="234">
        <v>656.37</v>
      </c>
    </row>
    <row r="93" spans="1:7">
      <c r="A93" s="234" t="s">
        <v>481</v>
      </c>
      <c r="B93" s="234">
        <v>8000</v>
      </c>
      <c r="C93" s="234">
        <v>1900</v>
      </c>
      <c r="D93" s="234">
        <v>1899.85</v>
      </c>
      <c r="E93" s="234">
        <v>1899.85</v>
      </c>
      <c r="F93" s="234">
        <v>1899.85</v>
      </c>
      <c r="G93" s="234">
        <v>0.15</v>
      </c>
    </row>
    <row r="94" spans="1:7">
      <c r="A94" s="234" t="s">
        <v>480</v>
      </c>
      <c r="B94" s="234">
        <v>140000</v>
      </c>
      <c r="C94" s="234">
        <v>206490</v>
      </c>
      <c r="D94" s="234">
        <v>201447.78</v>
      </c>
      <c r="E94" s="234">
        <v>181186.49</v>
      </c>
      <c r="F94" s="234">
        <v>181186.49</v>
      </c>
      <c r="G94" s="234">
        <v>5042.22</v>
      </c>
    </row>
    <row r="95" spans="1:7">
      <c r="A95" s="234" t="s">
        <v>479</v>
      </c>
      <c r="B95" s="234">
        <v>20000</v>
      </c>
      <c r="C95" s="234">
        <v>34610.15</v>
      </c>
      <c r="D95" s="234">
        <v>33690.47</v>
      </c>
      <c r="E95" s="234">
        <v>33690.47</v>
      </c>
      <c r="F95" s="234">
        <v>33690.47</v>
      </c>
      <c r="G95" s="234">
        <v>919.68</v>
      </c>
    </row>
    <row r="96" spans="1:7">
      <c r="A96" s="234" t="s">
        <v>478</v>
      </c>
      <c r="B96" s="234">
        <v>3000</v>
      </c>
      <c r="C96" s="234">
        <v>3000</v>
      </c>
      <c r="D96" s="234">
        <v>0</v>
      </c>
      <c r="E96" s="234">
        <v>0</v>
      </c>
      <c r="F96" s="234">
        <v>0</v>
      </c>
      <c r="G96" s="234">
        <v>3000</v>
      </c>
    </row>
    <row r="97" spans="1:7">
      <c r="A97" s="234" t="s">
        <v>477</v>
      </c>
      <c r="B97" s="234">
        <v>25200</v>
      </c>
      <c r="C97" s="234">
        <v>25200</v>
      </c>
      <c r="D97" s="234">
        <v>25200</v>
      </c>
      <c r="E97" s="234">
        <v>23758.28</v>
      </c>
      <c r="F97" s="234">
        <v>23758.28</v>
      </c>
      <c r="G97" s="234">
        <v>0</v>
      </c>
    </row>
    <row r="98" spans="1:7">
      <c r="A98" s="234" t="s">
        <v>476</v>
      </c>
      <c r="B98" s="234">
        <v>12000</v>
      </c>
      <c r="C98" s="234">
        <v>6000</v>
      </c>
      <c r="D98" s="234">
        <v>6000</v>
      </c>
      <c r="E98" s="234">
        <v>4174.49</v>
      </c>
      <c r="F98" s="234">
        <v>4174.49</v>
      </c>
      <c r="G98" s="234">
        <v>0</v>
      </c>
    </row>
    <row r="99" spans="1:7">
      <c r="A99" s="234" t="s">
        <v>475</v>
      </c>
      <c r="B99" s="234">
        <v>2000</v>
      </c>
      <c r="C99" s="234">
        <v>2037</v>
      </c>
      <c r="D99" s="234">
        <v>2037</v>
      </c>
      <c r="E99" s="234">
        <v>2037</v>
      </c>
      <c r="F99" s="234">
        <v>2037</v>
      </c>
      <c r="G99" s="234">
        <v>0</v>
      </c>
    </row>
    <row r="100" spans="1:7">
      <c r="A100" s="234" t="s">
        <v>474</v>
      </c>
      <c r="B100" s="234">
        <v>30000</v>
      </c>
      <c r="C100" s="234">
        <v>65000</v>
      </c>
      <c r="D100" s="234">
        <v>63375</v>
      </c>
      <c r="E100" s="234">
        <v>63375</v>
      </c>
      <c r="F100" s="234">
        <v>63375</v>
      </c>
      <c r="G100" s="234">
        <v>1625</v>
      </c>
    </row>
    <row r="101" spans="1:7">
      <c r="A101" s="234" t="s">
        <v>473</v>
      </c>
      <c r="B101" s="234">
        <v>14400</v>
      </c>
      <c r="C101" s="234">
        <v>14400</v>
      </c>
      <c r="D101" s="234">
        <v>8585.7199999999993</v>
      </c>
      <c r="E101" s="234">
        <v>7712.29</v>
      </c>
      <c r="F101" s="234">
        <v>7712.29</v>
      </c>
      <c r="G101" s="234">
        <v>5814.28</v>
      </c>
    </row>
    <row r="102" spans="1:7">
      <c r="A102" s="234" t="s">
        <v>472</v>
      </c>
      <c r="B102" s="234">
        <v>3000</v>
      </c>
      <c r="C102" s="234">
        <v>0</v>
      </c>
      <c r="D102" s="234">
        <v>0</v>
      </c>
      <c r="E102" s="234">
        <v>0</v>
      </c>
      <c r="F102" s="234">
        <v>0</v>
      </c>
      <c r="G102" s="234">
        <v>0</v>
      </c>
    </row>
    <row r="103" spans="1:7">
      <c r="A103" s="234" t="s">
        <v>471</v>
      </c>
      <c r="B103" s="234">
        <v>6000</v>
      </c>
      <c r="C103" s="234">
        <v>6000</v>
      </c>
      <c r="D103" s="234">
        <v>5442.88</v>
      </c>
      <c r="E103" s="234">
        <v>5442.88</v>
      </c>
      <c r="F103" s="234">
        <v>5442.88</v>
      </c>
      <c r="G103" s="234">
        <v>557.12</v>
      </c>
    </row>
    <row r="104" spans="1:7">
      <c r="A104" s="234" t="s">
        <v>470</v>
      </c>
      <c r="B104" s="234">
        <v>68049.539999999994</v>
      </c>
      <c r="C104" s="234">
        <v>123562.95</v>
      </c>
      <c r="D104" s="234">
        <v>105177.89</v>
      </c>
      <c r="E104" s="234">
        <v>91042.96</v>
      </c>
      <c r="F104" s="234">
        <v>91042.96</v>
      </c>
      <c r="G104" s="234">
        <v>18385.060000000001</v>
      </c>
    </row>
    <row r="105" spans="1:7">
      <c r="A105" s="234" t="s">
        <v>469</v>
      </c>
      <c r="B105" s="234">
        <v>26200</v>
      </c>
      <c r="C105" s="234">
        <v>14490</v>
      </c>
      <c r="D105" s="234">
        <v>13949.03</v>
      </c>
      <c r="E105" s="234">
        <v>13949.03</v>
      </c>
      <c r="F105" s="234">
        <v>13949.03</v>
      </c>
      <c r="G105" s="234">
        <v>540.97</v>
      </c>
    </row>
    <row r="106" spans="1:7">
      <c r="A106" s="234" t="s">
        <v>468</v>
      </c>
      <c r="B106" s="234">
        <v>15000</v>
      </c>
      <c r="C106" s="234">
        <v>13810</v>
      </c>
      <c r="D106" s="234">
        <v>13809.6</v>
      </c>
      <c r="E106" s="234">
        <v>13809.6</v>
      </c>
      <c r="F106" s="234">
        <v>13809.6</v>
      </c>
      <c r="G106" s="234">
        <v>0.4</v>
      </c>
    </row>
    <row r="107" spans="1:7">
      <c r="A107" s="234" t="s">
        <v>467</v>
      </c>
      <c r="B107" s="234">
        <v>11200</v>
      </c>
      <c r="C107" s="234">
        <v>680</v>
      </c>
      <c r="D107" s="234">
        <v>139.43</v>
      </c>
      <c r="E107" s="234">
        <v>139.43</v>
      </c>
      <c r="F107" s="234">
        <v>139.43</v>
      </c>
      <c r="G107" s="234">
        <v>540.57000000000005</v>
      </c>
    </row>
    <row r="108" spans="1:7">
      <c r="A108" s="234" t="s">
        <v>466</v>
      </c>
      <c r="B108" s="234">
        <v>76949.850000000006</v>
      </c>
      <c r="C108" s="234">
        <v>176020.8</v>
      </c>
      <c r="D108" s="234">
        <v>165795.92000000001</v>
      </c>
      <c r="E108" s="234">
        <v>80795.92</v>
      </c>
      <c r="F108" s="234">
        <v>80795.92</v>
      </c>
      <c r="G108" s="234">
        <v>10224.879999999999</v>
      </c>
    </row>
    <row r="109" spans="1:7">
      <c r="A109" s="234" t="s">
        <v>466</v>
      </c>
      <c r="B109" s="234">
        <v>76949.850000000006</v>
      </c>
      <c r="C109" s="234">
        <v>176020.8</v>
      </c>
      <c r="D109" s="234">
        <v>165795.92000000001</v>
      </c>
      <c r="E109" s="234">
        <v>80795.92</v>
      </c>
      <c r="F109" s="234">
        <v>80795.92</v>
      </c>
      <c r="G109" s="234">
        <v>10224.879999999999</v>
      </c>
    </row>
    <row r="110" spans="1:7">
      <c r="A110" s="234" t="s">
        <v>465</v>
      </c>
      <c r="B110" s="234">
        <v>0</v>
      </c>
      <c r="C110" s="234">
        <v>89070.95</v>
      </c>
      <c r="D110" s="234">
        <v>89051.68</v>
      </c>
      <c r="E110" s="234">
        <v>4051.68</v>
      </c>
      <c r="F110" s="234">
        <v>4051.68</v>
      </c>
      <c r="G110" s="234">
        <v>19.27</v>
      </c>
    </row>
    <row r="111" spans="1:7">
      <c r="A111" s="234" t="s">
        <v>464</v>
      </c>
      <c r="B111" s="234">
        <v>5000</v>
      </c>
      <c r="C111" s="234">
        <v>5000</v>
      </c>
      <c r="D111" s="234">
        <v>0</v>
      </c>
      <c r="E111" s="234">
        <v>0</v>
      </c>
      <c r="F111" s="234">
        <v>0</v>
      </c>
      <c r="G111" s="234">
        <v>5000</v>
      </c>
    </row>
    <row r="112" spans="1:7">
      <c r="A112" s="234" t="s">
        <v>463</v>
      </c>
      <c r="B112" s="234">
        <v>2000</v>
      </c>
      <c r="C112" s="234">
        <v>2000</v>
      </c>
      <c r="D112" s="234">
        <v>0</v>
      </c>
      <c r="E112" s="234">
        <v>0</v>
      </c>
      <c r="F112" s="234">
        <v>0</v>
      </c>
      <c r="G112" s="234">
        <v>2000</v>
      </c>
    </row>
    <row r="113" spans="1:7">
      <c r="A113" s="234" t="s">
        <v>462</v>
      </c>
      <c r="B113" s="234">
        <v>69949.850000000006</v>
      </c>
      <c r="C113" s="234">
        <v>79949.850000000006</v>
      </c>
      <c r="D113" s="234">
        <v>76744.240000000005</v>
      </c>
      <c r="E113" s="234">
        <v>76744.240000000005</v>
      </c>
      <c r="F113" s="234">
        <v>76744.240000000005</v>
      </c>
      <c r="G113" s="234">
        <v>3205.61</v>
      </c>
    </row>
    <row r="114" spans="1:7">
      <c r="A114" s="234" t="s">
        <v>461</v>
      </c>
      <c r="B114" s="234">
        <v>401194.37</v>
      </c>
      <c r="C114" s="234">
        <v>451125.06</v>
      </c>
      <c r="D114" s="234">
        <v>447812.7</v>
      </c>
      <c r="E114" s="234">
        <v>382362.7</v>
      </c>
      <c r="F114" s="234">
        <v>382362.7</v>
      </c>
      <c r="G114" s="234">
        <v>3312.36</v>
      </c>
    </row>
    <row r="115" spans="1:7">
      <c r="A115" s="234" t="s">
        <v>460</v>
      </c>
      <c r="B115" s="234">
        <v>87394.49</v>
      </c>
      <c r="C115" s="234">
        <v>75501.399999999994</v>
      </c>
      <c r="D115" s="234">
        <v>75501.399999999994</v>
      </c>
      <c r="E115" s="234">
        <v>75501.399999999994</v>
      </c>
      <c r="F115" s="234">
        <v>75501.399999999994</v>
      </c>
      <c r="G115" s="234">
        <v>0</v>
      </c>
    </row>
    <row r="116" spans="1:7">
      <c r="A116" s="234" t="s">
        <v>459</v>
      </c>
      <c r="B116" s="234">
        <v>87394.49</v>
      </c>
      <c r="C116" s="234">
        <v>75501.399999999994</v>
      </c>
      <c r="D116" s="234">
        <v>75501.399999999994</v>
      </c>
      <c r="E116" s="234">
        <v>75501.399999999994</v>
      </c>
      <c r="F116" s="234">
        <v>75501.399999999994</v>
      </c>
      <c r="G116" s="234">
        <v>0</v>
      </c>
    </row>
    <row r="117" spans="1:7">
      <c r="A117" s="234" t="s">
        <v>458</v>
      </c>
      <c r="B117" s="234">
        <v>62419.82</v>
      </c>
      <c r="C117" s="234">
        <v>103143.53</v>
      </c>
      <c r="D117" s="234">
        <v>99831.18</v>
      </c>
      <c r="E117" s="234">
        <v>34381.18</v>
      </c>
      <c r="F117" s="234">
        <v>34381.18</v>
      </c>
      <c r="G117" s="234">
        <v>3312.35</v>
      </c>
    </row>
    <row r="118" spans="1:7">
      <c r="A118" s="234" t="s">
        <v>457</v>
      </c>
      <c r="B118" s="234">
        <v>62419.82</v>
      </c>
      <c r="C118" s="234">
        <v>103143.53</v>
      </c>
      <c r="D118" s="234">
        <v>99831.18</v>
      </c>
      <c r="E118" s="234">
        <v>34381.18</v>
      </c>
      <c r="F118" s="234">
        <v>34381.18</v>
      </c>
      <c r="G118" s="234">
        <v>3312.35</v>
      </c>
    </row>
    <row r="119" spans="1:7">
      <c r="A119" s="234" t="s">
        <v>456</v>
      </c>
      <c r="B119" s="234">
        <v>251380.06</v>
      </c>
      <c r="C119" s="234">
        <v>272480.13</v>
      </c>
      <c r="D119" s="234">
        <v>272480.12</v>
      </c>
      <c r="E119" s="234">
        <v>272480.12</v>
      </c>
      <c r="F119" s="234">
        <v>272480.12</v>
      </c>
      <c r="G119" s="234">
        <v>0.01</v>
      </c>
    </row>
    <row r="120" spans="1:7">
      <c r="A120" s="234" t="s">
        <v>455</v>
      </c>
      <c r="B120" s="234">
        <v>251380.06</v>
      </c>
      <c r="C120" s="234">
        <v>272480.13</v>
      </c>
      <c r="D120" s="234">
        <v>272480.12</v>
      </c>
      <c r="E120" s="234">
        <v>272480.12</v>
      </c>
      <c r="F120" s="234">
        <v>272480.12</v>
      </c>
      <c r="G120" s="234">
        <v>0.01</v>
      </c>
    </row>
    <row r="121" spans="1:7">
      <c r="A121" s="234" t="s">
        <v>454</v>
      </c>
      <c r="B121" s="234">
        <v>72000</v>
      </c>
      <c r="C121" s="234">
        <v>326494.56</v>
      </c>
      <c r="D121" s="234">
        <v>114758.08</v>
      </c>
      <c r="E121" s="234">
        <v>102878.08</v>
      </c>
      <c r="F121" s="234">
        <v>100621.6</v>
      </c>
      <c r="G121" s="234">
        <v>211736.48</v>
      </c>
    </row>
    <row r="122" spans="1:7">
      <c r="A122" s="234" t="s">
        <v>453</v>
      </c>
      <c r="B122" s="234">
        <v>72000</v>
      </c>
      <c r="C122" s="234">
        <v>326494.56</v>
      </c>
      <c r="D122" s="234">
        <v>114758.08</v>
      </c>
      <c r="E122" s="234">
        <v>102878.08</v>
      </c>
      <c r="F122" s="234">
        <v>100621.6</v>
      </c>
      <c r="G122" s="234">
        <v>211736.48</v>
      </c>
    </row>
    <row r="123" spans="1:7">
      <c r="A123" s="234" t="s">
        <v>452</v>
      </c>
      <c r="B123" s="234">
        <v>0</v>
      </c>
      <c r="C123" s="234">
        <v>200000</v>
      </c>
      <c r="D123" s="234">
        <v>11880</v>
      </c>
      <c r="E123" s="234">
        <v>0</v>
      </c>
      <c r="F123" s="234">
        <v>0</v>
      </c>
      <c r="G123" s="234">
        <v>188120</v>
      </c>
    </row>
    <row r="124" spans="1:7">
      <c r="A124" s="234" t="s">
        <v>451</v>
      </c>
      <c r="B124" s="234">
        <v>0</v>
      </c>
      <c r="C124" s="234">
        <v>200000</v>
      </c>
      <c r="D124" s="234">
        <v>11880</v>
      </c>
      <c r="E124" s="234">
        <v>0</v>
      </c>
      <c r="F124" s="234">
        <v>0</v>
      </c>
      <c r="G124" s="234">
        <v>188120</v>
      </c>
    </row>
    <row r="125" spans="1:7">
      <c r="A125" s="234" t="s">
        <v>450</v>
      </c>
      <c r="B125" s="234">
        <v>72000</v>
      </c>
      <c r="C125" s="234">
        <v>126494.56</v>
      </c>
      <c r="D125" s="234">
        <v>102878.08</v>
      </c>
      <c r="E125" s="234">
        <v>102878.08</v>
      </c>
      <c r="F125" s="234">
        <v>100621.6</v>
      </c>
      <c r="G125" s="234">
        <v>23616.48</v>
      </c>
    </row>
    <row r="126" spans="1:7">
      <c r="A126" s="234" t="s">
        <v>449</v>
      </c>
      <c r="B126" s="234">
        <v>42000</v>
      </c>
      <c r="C126" s="234">
        <v>17000</v>
      </c>
      <c r="D126" s="234">
        <v>0</v>
      </c>
      <c r="E126" s="234">
        <v>0</v>
      </c>
      <c r="F126" s="234">
        <v>0</v>
      </c>
      <c r="G126" s="234">
        <v>17000</v>
      </c>
    </row>
    <row r="127" spans="1:7">
      <c r="A127" s="234" t="s">
        <v>448</v>
      </c>
      <c r="B127" s="234">
        <v>30000</v>
      </c>
      <c r="C127" s="234">
        <v>103000</v>
      </c>
      <c r="D127" s="234">
        <v>102878.08</v>
      </c>
      <c r="E127" s="234">
        <v>102878.08</v>
      </c>
      <c r="F127" s="234">
        <v>100621.6</v>
      </c>
      <c r="G127" s="234">
        <v>121.92</v>
      </c>
    </row>
    <row r="128" spans="1:7">
      <c r="A128" s="234" t="s">
        <v>447</v>
      </c>
      <c r="B128" s="234">
        <v>0</v>
      </c>
      <c r="C128" s="234">
        <v>6494.56</v>
      </c>
      <c r="D128" s="234">
        <v>0</v>
      </c>
      <c r="E128" s="234">
        <v>0</v>
      </c>
      <c r="F128" s="234">
        <v>0</v>
      </c>
      <c r="G128" s="234">
        <v>6494.56</v>
      </c>
    </row>
    <row r="129" spans="1:7">
      <c r="A129" s="234" t="s">
        <v>446</v>
      </c>
      <c r="B129" s="234">
        <v>36209.910000000003</v>
      </c>
      <c r="C129" s="234">
        <v>3744</v>
      </c>
      <c r="D129" s="234">
        <v>0</v>
      </c>
      <c r="E129" s="234">
        <v>0</v>
      </c>
      <c r="F129" s="234">
        <v>0</v>
      </c>
      <c r="G129" s="234">
        <v>3744</v>
      </c>
    </row>
    <row r="130" spans="1:7">
      <c r="A130" s="234" t="s">
        <v>445</v>
      </c>
      <c r="B130" s="234">
        <v>36209.910000000003</v>
      </c>
      <c r="C130" s="234">
        <v>3744</v>
      </c>
      <c r="D130" s="234">
        <v>0</v>
      </c>
      <c r="E130" s="234">
        <v>0</v>
      </c>
      <c r="F130" s="234">
        <v>0</v>
      </c>
      <c r="G130" s="234">
        <v>3744</v>
      </c>
    </row>
    <row r="131" spans="1:7">
      <c r="A131" s="234" t="s">
        <v>444</v>
      </c>
      <c r="B131" s="234">
        <v>3472176.26</v>
      </c>
      <c r="C131" s="234">
        <v>3997383.92</v>
      </c>
      <c r="D131" s="234">
        <v>3644553.49</v>
      </c>
      <c r="E131" s="234">
        <v>3366891.96</v>
      </c>
      <c r="F131" s="234">
        <v>3364239.58</v>
      </c>
      <c r="G131" s="234">
        <v>352830.43</v>
      </c>
    </row>
    <row r="132" spans="1:7">
      <c r="A132" s="234" t="s">
        <v>443</v>
      </c>
      <c r="B132" s="234">
        <v>0</v>
      </c>
      <c r="C132" s="234">
        <v>0</v>
      </c>
      <c r="D132" s="234">
        <v>263375.33</v>
      </c>
      <c r="E132" s="234">
        <v>0</v>
      </c>
      <c r="F132" s="234">
        <v>0</v>
      </c>
      <c r="G132" s="234">
        <v>263375.33</v>
      </c>
    </row>
    <row r="133" spans="1:7">
      <c r="A133" s="234" t="s">
        <v>3</v>
      </c>
      <c r="B133" s="234">
        <v>3472176.26</v>
      </c>
      <c r="C133" s="234">
        <v>3997383.92</v>
      </c>
      <c r="D133" s="234">
        <v>3907928.82</v>
      </c>
      <c r="E133" s="234">
        <v>3366891.96</v>
      </c>
      <c r="F133" s="234">
        <v>3364239.58</v>
      </c>
      <c r="G133" s="234">
        <v>89455.1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77"/>
  <sheetViews>
    <sheetView showGridLines="0" workbookViewId="0">
      <selection activeCell="J16" sqref="J16:M16"/>
    </sheetView>
  </sheetViews>
  <sheetFormatPr defaultRowHeight="15"/>
  <cols>
    <col min="1" max="1" width="25" style="287" customWidth="1"/>
    <col min="2" max="2" width="4.42578125" style="287" customWidth="1"/>
    <col min="3" max="3" width="11.28515625" style="287" customWidth="1"/>
    <col min="4" max="4" width="0.28515625" style="287" customWidth="1"/>
    <col min="5" max="5" width="16.7109375" style="287" customWidth="1"/>
    <col min="6" max="6" width="0.5703125" style="287" customWidth="1"/>
    <col min="7" max="7" width="15.28515625" style="287" customWidth="1"/>
    <col min="8" max="8" width="0.140625" style="287" customWidth="1"/>
    <col min="9" max="9" width="0.28515625" style="287" customWidth="1"/>
    <col min="10" max="10" width="2.7109375" style="287" customWidth="1"/>
    <col min="11" max="11" width="0.140625" style="287" customWidth="1"/>
    <col min="12" max="12" width="12.5703125" style="287" customWidth="1"/>
    <col min="13" max="13" width="0.28515625" style="287" customWidth="1"/>
    <col min="14" max="14" width="17.5703125" style="287" customWidth="1"/>
    <col min="15" max="15" width="10.140625" style="287" bestFit="1" customWidth="1"/>
    <col min="16" max="16384" width="9.140625" style="287"/>
  </cols>
  <sheetData>
    <row r="1" spans="1:14" ht="33" customHeight="1"/>
    <row r="2" spans="1:14" ht="23.25" customHeight="1">
      <c r="A2" s="496" t="s">
        <v>585</v>
      </c>
      <c r="B2" s="496"/>
      <c r="C2" s="496"/>
      <c r="D2" s="496"/>
      <c r="E2" s="496"/>
      <c r="F2" s="496"/>
      <c r="G2" s="496"/>
      <c r="H2" s="496"/>
    </row>
    <row r="3" spans="1:14" ht="15.75" customHeight="1">
      <c r="A3" s="498" t="s">
        <v>586</v>
      </c>
      <c r="B3" s="498"/>
      <c r="C3" s="498"/>
      <c r="D3" s="498"/>
      <c r="E3" s="498"/>
      <c r="F3" s="498"/>
      <c r="G3" s="498"/>
      <c r="H3" s="498"/>
    </row>
    <row r="4" spans="1:14" ht="12" customHeight="1">
      <c r="A4" s="498" t="s">
        <v>587</v>
      </c>
      <c r="B4" s="498"/>
      <c r="C4" s="498"/>
    </row>
    <row r="5" spans="1:14" ht="4.5" customHeight="1">
      <c r="A5" s="498"/>
      <c r="B5" s="498"/>
      <c r="C5" s="498"/>
    </row>
    <row r="6" spans="1:14" ht="6" customHeigh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</row>
    <row r="7" spans="1:14" ht="14.25" customHeight="1">
      <c r="I7" s="497" t="s">
        <v>588</v>
      </c>
      <c r="J7" s="497"/>
      <c r="K7" s="497"/>
      <c r="L7" s="497"/>
      <c r="M7" s="497"/>
      <c r="N7" s="497"/>
    </row>
    <row r="8" spans="1:14" ht="22.5" customHeight="1">
      <c r="A8" s="500" t="s">
        <v>626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</row>
    <row r="9" spans="1:14" ht="2.25" customHeight="1"/>
    <row r="10" spans="1:14" ht="18" customHeight="1">
      <c r="A10" s="494" t="s">
        <v>627</v>
      </c>
      <c r="B10" s="494"/>
      <c r="C10" s="494"/>
      <c r="D10" s="495" t="s">
        <v>596</v>
      </c>
      <c r="E10" s="495"/>
      <c r="F10" s="495" t="s">
        <v>628</v>
      </c>
      <c r="G10" s="495"/>
      <c r="H10" s="495" t="s">
        <v>629</v>
      </c>
      <c r="I10" s="495"/>
      <c r="J10" s="495"/>
      <c r="K10" s="495"/>
      <c r="L10" s="495"/>
      <c r="M10" s="495" t="s">
        <v>630</v>
      </c>
      <c r="N10" s="495"/>
    </row>
    <row r="11" spans="1:14" ht="21.75" customHeight="1">
      <c r="A11" s="496" t="s">
        <v>585</v>
      </c>
      <c r="B11" s="496"/>
      <c r="C11" s="496"/>
      <c r="I11" s="497" t="s">
        <v>588</v>
      </c>
      <c r="J11" s="497"/>
      <c r="K11" s="497"/>
      <c r="L11" s="497"/>
      <c r="M11" s="497"/>
      <c r="N11" s="497"/>
    </row>
    <row r="12" spans="1:14" ht="1.5" customHeight="1">
      <c r="A12" s="496"/>
      <c r="B12" s="496"/>
      <c r="C12" s="496"/>
    </row>
    <row r="13" spans="1:14" ht="3.75" customHeight="1"/>
    <row r="14" spans="1:14" ht="5.25" customHeight="1">
      <c r="A14" s="493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</row>
    <row r="15" spans="1:14" ht="18" customHeight="1">
      <c r="A15" s="494" t="s">
        <v>627</v>
      </c>
      <c r="B15" s="494"/>
      <c r="C15" s="494"/>
      <c r="D15" s="495" t="s">
        <v>596</v>
      </c>
      <c r="E15" s="495"/>
      <c r="F15" s="495" t="s">
        <v>628</v>
      </c>
      <c r="G15" s="495"/>
      <c r="H15" s="495" t="s">
        <v>629</v>
      </c>
      <c r="I15" s="495"/>
      <c r="J15" s="495"/>
      <c r="K15" s="495"/>
      <c r="L15" s="495"/>
      <c r="M15" s="495" t="s">
        <v>630</v>
      </c>
      <c r="N15" s="495"/>
    </row>
    <row r="16" spans="1:14" ht="18" customHeight="1">
      <c r="A16" s="492" t="s">
        <v>631</v>
      </c>
      <c r="B16" s="492"/>
      <c r="C16" s="492"/>
      <c r="D16" s="492"/>
      <c r="E16" s="484">
        <v>3997383.92</v>
      </c>
      <c r="F16" s="484"/>
      <c r="G16" s="484">
        <v>3907928.82</v>
      </c>
      <c r="H16" s="484"/>
      <c r="I16" s="484"/>
      <c r="J16" s="484">
        <v>3907928.82</v>
      </c>
      <c r="K16" s="484"/>
      <c r="L16" s="484"/>
      <c r="M16" s="484"/>
      <c r="N16" s="284">
        <v>89455.1</v>
      </c>
    </row>
    <row r="17" spans="1:15" ht="18" customHeight="1">
      <c r="A17" s="489" t="s">
        <v>572</v>
      </c>
      <c r="B17" s="489"/>
      <c r="C17" s="489"/>
      <c r="D17" s="489"/>
      <c r="E17" s="484">
        <v>3611383.92</v>
      </c>
      <c r="F17" s="484"/>
      <c r="G17" s="484">
        <v>3907928.82</v>
      </c>
      <c r="H17" s="484"/>
      <c r="I17" s="484"/>
      <c r="J17" s="484">
        <v>3907928.82</v>
      </c>
      <c r="K17" s="484"/>
      <c r="L17" s="484"/>
      <c r="M17" s="484"/>
      <c r="N17" s="284">
        <v>-296544.90000000002</v>
      </c>
    </row>
    <row r="18" spans="1:15" ht="18" customHeight="1">
      <c r="A18" s="487" t="s">
        <v>571</v>
      </c>
      <c r="B18" s="487"/>
      <c r="C18" s="487"/>
      <c r="D18" s="487"/>
      <c r="E18" s="484">
        <v>1985008.36</v>
      </c>
      <c r="F18" s="484"/>
      <c r="G18" s="484">
        <v>2052931.33</v>
      </c>
      <c r="H18" s="484"/>
      <c r="I18" s="484"/>
      <c r="J18" s="484">
        <v>2052931.33</v>
      </c>
      <c r="K18" s="484"/>
      <c r="L18" s="484"/>
      <c r="M18" s="484"/>
      <c r="N18" s="284">
        <v>-67922.97</v>
      </c>
    </row>
    <row r="19" spans="1:15" ht="18" customHeight="1">
      <c r="A19" s="483" t="s">
        <v>570</v>
      </c>
      <c r="B19" s="483"/>
      <c r="C19" s="483"/>
      <c r="D19" s="483"/>
      <c r="E19" s="484">
        <v>1985008.36</v>
      </c>
      <c r="F19" s="484"/>
      <c r="G19" s="484">
        <v>2052931.33</v>
      </c>
      <c r="H19" s="484"/>
      <c r="I19" s="484"/>
      <c r="J19" s="484">
        <v>2052931.33</v>
      </c>
      <c r="K19" s="484"/>
      <c r="L19" s="484"/>
      <c r="M19" s="484"/>
      <c r="N19" s="284">
        <v>-67922.97</v>
      </c>
    </row>
    <row r="20" spans="1:15" ht="18" customHeight="1">
      <c r="A20" s="491" t="s">
        <v>569</v>
      </c>
      <c r="B20" s="491"/>
      <c r="C20" s="491"/>
      <c r="D20" s="491"/>
      <c r="E20" s="484">
        <v>1985008.36</v>
      </c>
      <c r="F20" s="484"/>
      <c r="G20" s="484">
        <v>2052931.33</v>
      </c>
      <c r="H20" s="484"/>
      <c r="I20" s="484"/>
      <c r="J20" s="484">
        <v>2052931.33</v>
      </c>
      <c r="K20" s="484"/>
      <c r="L20" s="484"/>
      <c r="M20" s="484"/>
      <c r="N20" s="284">
        <v>-67922.97</v>
      </c>
    </row>
    <row r="21" spans="1:15" ht="18" customHeight="1">
      <c r="A21" s="490" t="s">
        <v>568</v>
      </c>
      <c r="B21" s="490"/>
      <c r="C21" s="490"/>
      <c r="D21" s="490"/>
      <c r="E21" s="486">
        <v>1502059.5</v>
      </c>
      <c r="F21" s="486"/>
      <c r="G21" s="486">
        <v>1495793.13</v>
      </c>
      <c r="H21" s="486"/>
      <c r="I21" s="486"/>
      <c r="J21" s="486">
        <v>1495793.13</v>
      </c>
      <c r="K21" s="486"/>
      <c r="L21" s="486"/>
      <c r="M21" s="486"/>
      <c r="N21" s="286">
        <v>6266.37</v>
      </c>
    </row>
    <row r="22" spans="1:15" ht="18" customHeight="1">
      <c r="A22" s="490" t="s">
        <v>567</v>
      </c>
      <c r="B22" s="490"/>
      <c r="C22" s="490"/>
      <c r="D22" s="490"/>
      <c r="E22" s="486">
        <v>290742.57</v>
      </c>
      <c r="F22" s="486"/>
      <c r="G22" s="486">
        <v>405357.16</v>
      </c>
      <c r="H22" s="486"/>
      <c r="I22" s="486"/>
      <c r="J22" s="486">
        <v>405357.16</v>
      </c>
      <c r="K22" s="486"/>
      <c r="L22" s="486"/>
      <c r="M22" s="486"/>
      <c r="N22" s="286">
        <v>-114614.59</v>
      </c>
      <c r="O22" s="266">
        <f>J22+J25</f>
        <v>412180.12999999995</v>
      </c>
    </row>
    <row r="23" spans="1:15" ht="18" customHeight="1">
      <c r="A23" s="490" t="s">
        <v>566</v>
      </c>
      <c r="B23" s="490"/>
      <c r="C23" s="490"/>
      <c r="D23" s="490"/>
      <c r="E23" s="486">
        <v>124079.33</v>
      </c>
      <c r="F23" s="486"/>
      <c r="G23" s="486">
        <v>110804.02</v>
      </c>
      <c r="H23" s="486"/>
      <c r="I23" s="486"/>
      <c r="J23" s="486">
        <v>110804.02</v>
      </c>
      <c r="K23" s="486"/>
      <c r="L23" s="486"/>
      <c r="M23" s="486"/>
      <c r="N23" s="286">
        <v>13275.31</v>
      </c>
    </row>
    <row r="24" spans="1:15" ht="18" customHeight="1">
      <c r="A24" s="490" t="s">
        <v>565</v>
      </c>
      <c r="B24" s="490"/>
      <c r="C24" s="490"/>
      <c r="D24" s="490"/>
      <c r="E24" s="486">
        <v>51401.66</v>
      </c>
      <c r="F24" s="486"/>
      <c r="G24" s="486">
        <v>34154.050000000003</v>
      </c>
      <c r="H24" s="486"/>
      <c r="I24" s="486"/>
      <c r="J24" s="486">
        <v>34154.050000000003</v>
      </c>
      <c r="K24" s="486"/>
      <c r="L24" s="486"/>
      <c r="M24" s="486"/>
      <c r="N24" s="286">
        <v>17247.61</v>
      </c>
      <c r="O24" s="266">
        <f>J24+J26</f>
        <v>34154.050000000003</v>
      </c>
    </row>
    <row r="25" spans="1:15" ht="18" customHeight="1">
      <c r="A25" s="490" t="s">
        <v>564</v>
      </c>
      <c r="B25" s="490"/>
      <c r="C25" s="490"/>
      <c r="D25" s="490"/>
      <c r="E25" s="486">
        <v>15000</v>
      </c>
      <c r="F25" s="486"/>
      <c r="G25" s="486">
        <v>6822.97</v>
      </c>
      <c r="H25" s="486"/>
      <c r="I25" s="486"/>
      <c r="J25" s="486">
        <v>6822.97</v>
      </c>
      <c r="K25" s="486"/>
      <c r="L25" s="486"/>
      <c r="M25" s="486"/>
      <c r="N25" s="286">
        <v>8177.03</v>
      </c>
    </row>
    <row r="26" spans="1:15" ht="18" customHeight="1">
      <c r="A26" s="490" t="s">
        <v>563</v>
      </c>
      <c r="B26" s="490"/>
      <c r="C26" s="490"/>
      <c r="D26" s="490"/>
      <c r="E26" s="486">
        <v>1725.3</v>
      </c>
      <c r="F26" s="486"/>
      <c r="G26" s="486">
        <v>0</v>
      </c>
      <c r="H26" s="486"/>
      <c r="I26" s="486"/>
      <c r="J26" s="486">
        <v>0</v>
      </c>
      <c r="K26" s="486"/>
      <c r="L26" s="486"/>
      <c r="M26" s="486"/>
      <c r="N26" s="286">
        <v>1725.3</v>
      </c>
    </row>
    <row r="27" spans="1:15" ht="18" customHeight="1">
      <c r="A27" s="487" t="s">
        <v>632</v>
      </c>
      <c r="B27" s="487"/>
      <c r="C27" s="487"/>
      <c r="D27" s="487"/>
      <c r="E27" s="484">
        <v>0</v>
      </c>
      <c r="F27" s="484"/>
      <c r="G27" s="484">
        <v>0</v>
      </c>
      <c r="H27" s="484"/>
      <c r="I27" s="484"/>
      <c r="J27" s="484">
        <v>0</v>
      </c>
      <c r="K27" s="484"/>
      <c r="L27" s="484"/>
      <c r="M27" s="484"/>
      <c r="N27" s="284">
        <v>0</v>
      </c>
    </row>
    <row r="28" spans="1:15" ht="18" customHeight="1">
      <c r="A28" s="488" t="s">
        <v>633</v>
      </c>
      <c r="B28" s="488"/>
      <c r="C28" s="488"/>
      <c r="D28" s="488"/>
      <c r="E28" s="486">
        <v>0</v>
      </c>
      <c r="F28" s="486"/>
      <c r="G28" s="486">
        <v>0</v>
      </c>
      <c r="H28" s="486"/>
      <c r="I28" s="486"/>
      <c r="J28" s="486">
        <v>0</v>
      </c>
      <c r="K28" s="486"/>
      <c r="L28" s="486"/>
      <c r="M28" s="486"/>
      <c r="N28" s="286">
        <v>0</v>
      </c>
    </row>
    <row r="29" spans="1:15" ht="18" customHeight="1">
      <c r="A29" s="488" t="s">
        <v>634</v>
      </c>
      <c r="B29" s="488"/>
      <c r="C29" s="488"/>
      <c r="D29" s="488"/>
      <c r="E29" s="486">
        <v>0</v>
      </c>
      <c r="F29" s="486"/>
      <c r="G29" s="486">
        <v>0</v>
      </c>
      <c r="H29" s="486"/>
      <c r="I29" s="486"/>
      <c r="J29" s="486">
        <v>0</v>
      </c>
      <c r="K29" s="486"/>
      <c r="L29" s="486"/>
      <c r="M29" s="486"/>
      <c r="N29" s="286">
        <v>0</v>
      </c>
    </row>
    <row r="30" spans="1:15" ht="18" customHeight="1">
      <c r="A30" s="488" t="s">
        <v>635</v>
      </c>
      <c r="B30" s="488"/>
      <c r="C30" s="488"/>
      <c r="D30" s="488"/>
      <c r="E30" s="486">
        <v>0</v>
      </c>
      <c r="F30" s="486"/>
      <c r="G30" s="486">
        <v>0</v>
      </c>
      <c r="H30" s="486"/>
      <c r="I30" s="486"/>
      <c r="J30" s="486">
        <v>0</v>
      </c>
      <c r="K30" s="486"/>
      <c r="L30" s="486"/>
      <c r="M30" s="486"/>
      <c r="N30" s="286">
        <v>0</v>
      </c>
    </row>
    <row r="31" spans="1:15" ht="18" customHeight="1">
      <c r="A31" s="488" t="s">
        <v>636</v>
      </c>
      <c r="B31" s="488"/>
      <c r="C31" s="488"/>
      <c r="D31" s="488"/>
      <c r="E31" s="486">
        <v>0</v>
      </c>
      <c r="F31" s="486"/>
      <c r="G31" s="486">
        <v>0</v>
      </c>
      <c r="H31" s="486"/>
      <c r="I31" s="486"/>
      <c r="J31" s="486">
        <v>0</v>
      </c>
      <c r="K31" s="486"/>
      <c r="L31" s="486"/>
      <c r="M31" s="486"/>
      <c r="N31" s="286">
        <v>0</v>
      </c>
    </row>
    <row r="32" spans="1:15" ht="18" customHeight="1">
      <c r="A32" s="488" t="s">
        <v>637</v>
      </c>
      <c r="B32" s="488"/>
      <c r="C32" s="488"/>
      <c r="D32" s="488"/>
      <c r="E32" s="486">
        <v>0</v>
      </c>
      <c r="F32" s="486"/>
      <c r="G32" s="486">
        <v>0</v>
      </c>
      <c r="H32" s="486"/>
      <c r="I32" s="486"/>
      <c r="J32" s="486">
        <v>0</v>
      </c>
      <c r="K32" s="486"/>
      <c r="L32" s="486"/>
      <c r="M32" s="486"/>
      <c r="N32" s="286">
        <v>0</v>
      </c>
    </row>
    <row r="33" spans="1:14" ht="18" customHeight="1">
      <c r="A33" s="488" t="s">
        <v>638</v>
      </c>
      <c r="B33" s="488"/>
      <c r="C33" s="488"/>
      <c r="D33" s="488"/>
      <c r="E33" s="486">
        <v>0</v>
      </c>
      <c r="F33" s="486"/>
      <c r="G33" s="486">
        <v>0</v>
      </c>
      <c r="H33" s="486"/>
      <c r="I33" s="486"/>
      <c r="J33" s="486">
        <v>0</v>
      </c>
      <c r="K33" s="486"/>
      <c r="L33" s="486"/>
      <c r="M33" s="486"/>
      <c r="N33" s="286">
        <v>0</v>
      </c>
    </row>
    <row r="34" spans="1:14" ht="18" customHeight="1">
      <c r="A34" s="488" t="s">
        <v>639</v>
      </c>
      <c r="B34" s="488"/>
      <c r="C34" s="488"/>
      <c r="D34" s="488"/>
      <c r="E34" s="486">
        <v>0</v>
      </c>
      <c r="F34" s="486"/>
      <c r="G34" s="486">
        <v>0</v>
      </c>
      <c r="H34" s="486"/>
      <c r="I34" s="486"/>
      <c r="J34" s="486">
        <v>0</v>
      </c>
      <c r="K34" s="486"/>
      <c r="L34" s="486"/>
      <c r="M34" s="486"/>
      <c r="N34" s="286">
        <v>0</v>
      </c>
    </row>
    <row r="35" spans="1:14" ht="18" customHeight="1">
      <c r="A35" s="488" t="s">
        <v>640</v>
      </c>
      <c r="B35" s="488"/>
      <c r="C35" s="488"/>
      <c r="D35" s="488"/>
      <c r="E35" s="486">
        <v>0</v>
      </c>
      <c r="F35" s="486"/>
      <c r="G35" s="486">
        <v>0</v>
      </c>
      <c r="H35" s="486"/>
      <c r="I35" s="486"/>
      <c r="J35" s="486">
        <v>0</v>
      </c>
      <c r="K35" s="486"/>
      <c r="L35" s="486"/>
      <c r="M35" s="486"/>
      <c r="N35" s="286">
        <v>0</v>
      </c>
    </row>
    <row r="36" spans="1:14" ht="18" customHeight="1">
      <c r="A36" s="488" t="s">
        <v>641</v>
      </c>
      <c r="B36" s="488"/>
      <c r="C36" s="488"/>
      <c r="D36" s="488"/>
      <c r="E36" s="486">
        <v>0</v>
      </c>
      <c r="F36" s="486"/>
      <c r="G36" s="486">
        <v>0</v>
      </c>
      <c r="H36" s="486"/>
      <c r="I36" s="486"/>
      <c r="J36" s="486">
        <v>0</v>
      </c>
      <c r="K36" s="486"/>
      <c r="L36" s="486"/>
      <c r="M36" s="486"/>
      <c r="N36" s="286">
        <v>0</v>
      </c>
    </row>
    <row r="37" spans="1:14" ht="18" customHeight="1">
      <c r="A37" s="488" t="s">
        <v>642</v>
      </c>
      <c r="B37" s="488"/>
      <c r="C37" s="488"/>
      <c r="D37" s="488"/>
      <c r="E37" s="486">
        <v>0</v>
      </c>
      <c r="F37" s="486"/>
      <c r="G37" s="486">
        <v>0</v>
      </c>
      <c r="H37" s="486"/>
      <c r="I37" s="486"/>
      <c r="J37" s="486">
        <v>0</v>
      </c>
      <c r="K37" s="486"/>
      <c r="L37" s="486"/>
      <c r="M37" s="486"/>
      <c r="N37" s="286">
        <v>0</v>
      </c>
    </row>
    <row r="38" spans="1:14" ht="18" customHeight="1">
      <c r="A38" s="488" t="s">
        <v>643</v>
      </c>
      <c r="B38" s="488"/>
      <c r="C38" s="488"/>
      <c r="D38" s="488"/>
      <c r="E38" s="486">
        <v>0</v>
      </c>
      <c r="F38" s="486"/>
      <c r="G38" s="486">
        <v>0</v>
      </c>
      <c r="H38" s="486"/>
      <c r="I38" s="486"/>
      <c r="J38" s="486">
        <v>0</v>
      </c>
      <c r="K38" s="486"/>
      <c r="L38" s="486"/>
      <c r="M38" s="486"/>
      <c r="N38" s="286">
        <v>0</v>
      </c>
    </row>
    <row r="39" spans="1:14" ht="18" customHeight="1">
      <c r="A39" s="488" t="s">
        <v>644</v>
      </c>
      <c r="B39" s="488"/>
      <c r="C39" s="488"/>
      <c r="D39" s="488"/>
      <c r="E39" s="486">
        <v>0</v>
      </c>
      <c r="F39" s="486"/>
      <c r="G39" s="486">
        <v>0</v>
      </c>
      <c r="H39" s="486"/>
      <c r="I39" s="486"/>
      <c r="J39" s="486">
        <v>0</v>
      </c>
      <c r="K39" s="486"/>
      <c r="L39" s="486"/>
      <c r="M39" s="486"/>
      <c r="N39" s="286">
        <v>0</v>
      </c>
    </row>
    <row r="40" spans="1:14" ht="18" customHeight="1">
      <c r="A40" s="488" t="s">
        <v>645</v>
      </c>
      <c r="B40" s="488"/>
      <c r="C40" s="488"/>
      <c r="D40" s="488"/>
      <c r="E40" s="486">
        <v>0</v>
      </c>
      <c r="F40" s="486"/>
      <c r="G40" s="486">
        <v>0</v>
      </c>
      <c r="H40" s="486"/>
      <c r="I40" s="486"/>
      <c r="J40" s="486">
        <v>0</v>
      </c>
      <c r="K40" s="486"/>
      <c r="L40" s="486"/>
      <c r="M40" s="486"/>
      <c r="N40" s="286">
        <v>0</v>
      </c>
    </row>
    <row r="41" spans="1:14" ht="18" customHeight="1">
      <c r="A41" s="488" t="s">
        <v>646</v>
      </c>
      <c r="B41" s="488"/>
      <c r="C41" s="488"/>
      <c r="D41" s="488"/>
      <c r="E41" s="486">
        <v>0</v>
      </c>
      <c r="F41" s="486"/>
      <c r="G41" s="486">
        <v>0</v>
      </c>
      <c r="H41" s="486"/>
      <c r="I41" s="486"/>
      <c r="J41" s="486">
        <v>0</v>
      </c>
      <c r="K41" s="486"/>
      <c r="L41" s="486"/>
      <c r="M41" s="486"/>
      <c r="N41" s="286">
        <v>0</v>
      </c>
    </row>
    <row r="42" spans="1:14" ht="18" customHeight="1">
      <c r="A42" s="488" t="s">
        <v>647</v>
      </c>
      <c r="B42" s="488"/>
      <c r="C42" s="488"/>
      <c r="D42" s="488"/>
      <c r="E42" s="486">
        <v>0</v>
      </c>
      <c r="F42" s="486"/>
      <c r="G42" s="486">
        <v>0</v>
      </c>
      <c r="H42" s="486"/>
      <c r="I42" s="486"/>
      <c r="J42" s="486">
        <v>0</v>
      </c>
      <c r="K42" s="486"/>
      <c r="L42" s="486"/>
      <c r="M42" s="486"/>
      <c r="N42" s="286">
        <v>0</v>
      </c>
    </row>
    <row r="43" spans="1:14" ht="18" customHeight="1">
      <c r="A43" s="488" t="s">
        <v>648</v>
      </c>
      <c r="B43" s="488"/>
      <c r="C43" s="488"/>
      <c r="D43" s="488"/>
      <c r="E43" s="486">
        <v>0</v>
      </c>
      <c r="F43" s="486"/>
      <c r="G43" s="486">
        <v>0</v>
      </c>
      <c r="H43" s="486"/>
      <c r="I43" s="486"/>
      <c r="J43" s="486">
        <v>0</v>
      </c>
      <c r="K43" s="486"/>
      <c r="L43" s="486"/>
      <c r="M43" s="486"/>
      <c r="N43" s="286">
        <v>0</v>
      </c>
    </row>
    <row r="44" spans="1:14" ht="18" customHeight="1">
      <c r="A44" s="488" t="s">
        <v>649</v>
      </c>
      <c r="B44" s="488"/>
      <c r="C44" s="488"/>
      <c r="D44" s="488"/>
      <c r="E44" s="486">
        <v>0</v>
      </c>
      <c r="F44" s="486"/>
      <c r="G44" s="486">
        <v>0</v>
      </c>
      <c r="H44" s="486"/>
      <c r="I44" s="486"/>
      <c r="J44" s="486">
        <v>0</v>
      </c>
      <c r="K44" s="486"/>
      <c r="L44" s="486"/>
      <c r="M44" s="486"/>
      <c r="N44" s="286">
        <v>0</v>
      </c>
    </row>
    <row r="45" spans="1:14" ht="18" customHeight="1">
      <c r="A45" s="488" t="s">
        <v>650</v>
      </c>
      <c r="B45" s="488"/>
      <c r="C45" s="488"/>
      <c r="D45" s="488"/>
      <c r="E45" s="486">
        <v>0</v>
      </c>
      <c r="F45" s="486"/>
      <c r="G45" s="486">
        <v>0</v>
      </c>
      <c r="H45" s="486"/>
      <c r="I45" s="486"/>
      <c r="J45" s="486">
        <v>0</v>
      </c>
      <c r="K45" s="486"/>
      <c r="L45" s="486"/>
      <c r="M45" s="486"/>
      <c r="N45" s="286">
        <v>0</v>
      </c>
    </row>
    <row r="46" spans="1:14" ht="18" customHeight="1">
      <c r="A46" s="488" t="s">
        <v>651</v>
      </c>
      <c r="B46" s="488"/>
      <c r="C46" s="488"/>
      <c r="D46" s="488"/>
      <c r="E46" s="486">
        <v>0</v>
      </c>
      <c r="F46" s="486"/>
      <c r="G46" s="486">
        <v>0</v>
      </c>
      <c r="H46" s="486"/>
      <c r="I46" s="486"/>
      <c r="J46" s="486">
        <v>0</v>
      </c>
      <c r="K46" s="486"/>
      <c r="L46" s="486"/>
      <c r="M46" s="486"/>
      <c r="N46" s="286">
        <v>0</v>
      </c>
    </row>
    <row r="47" spans="1:14" ht="18" customHeight="1">
      <c r="A47" s="488" t="s">
        <v>652</v>
      </c>
      <c r="B47" s="488"/>
      <c r="C47" s="488"/>
      <c r="D47" s="488"/>
      <c r="E47" s="486">
        <v>0</v>
      </c>
      <c r="F47" s="486"/>
      <c r="G47" s="486">
        <v>0</v>
      </c>
      <c r="H47" s="486"/>
      <c r="I47" s="486"/>
      <c r="J47" s="486">
        <v>0</v>
      </c>
      <c r="K47" s="486"/>
      <c r="L47" s="486"/>
      <c r="M47" s="486"/>
      <c r="N47" s="286">
        <v>0</v>
      </c>
    </row>
    <row r="48" spans="1:14" ht="18" customHeight="1">
      <c r="A48" s="488" t="s">
        <v>653</v>
      </c>
      <c r="B48" s="488"/>
      <c r="C48" s="488"/>
      <c r="D48" s="488"/>
      <c r="E48" s="486">
        <v>0</v>
      </c>
      <c r="F48" s="486"/>
      <c r="G48" s="486">
        <v>0</v>
      </c>
      <c r="H48" s="486"/>
      <c r="I48" s="486"/>
      <c r="J48" s="486">
        <v>0</v>
      </c>
      <c r="K48" s="486"/>
      <c r="L48" s="486"/>
      <c r="M48" s="486"/>
      <c r="N48" s="286">
        <v>0</v>
      </c>
    </row>
    <row r="49" spans="1:14" ht="18" customHeight="1">
      <c r="A49" s="488" t="s">
        <v>654</v>
      </c>
      <c r="B49" s="488"/>
      <c r="C49" s="488"/>
      <c r="D49" s="488"/>
      <c r="E49" s="486">
        <v>0</v>
      </c>
      <c r="F49" s="486"/>
      <c r="G49" s="486">
        <v>0</v>
      </c>
      <c r="H49" s="486"/>
      <c r="I49" s="486"/>
      <c r="J49" s="486">
        <v>0</v>
      </c>
      <c r="K49" s="486"/>
      <c r="L49" s="486"/>
      <c r="M49" s="486"/>
      <c r="N49" s="286">
        <v>0</v>
      </c>
    </row>
    <row r="50" spans="1:14" ht="18" customHeight="1">
      <c r="A50" s="488" t="s">
        <v>655</v>
      </c>
      <c r="B50" s="488"/>
      <c r="C50" s="488"/>
      <c r="D50" s="488"/>
      <c r="E50" s="486">
        <v>0</v>
      </c>
      <c r="F50" s="486"/>
      <c r="G50" s="486">
        <v>0</v>
      </c>
      <c r="H50" s="486"/>
      <c r="I50" s="486"/>
      <c r="J50" s="486">
        <v>0</v>
      </c>
      <c r="K50" s="486"/>
      <c r="L50" s="486"/>
      <c r="M50" s="486"/>
      <c r="N50" s="286">
        <v>0</v>
      </c>
    </row>
    <row r="51" spans="1:14" ht="18" customHeight="1">
      <c r="A51" s="488" t="s">
        <v>656</v>
      </c>
      <c r="B51" s="488"/>
      <c r="C51" s="488"/>
      <c r="D51" s="488"/>
      <c r="E51" s="486">
        <v>0</v>
      </c>
      <c r="F51" s="486"/>
      <c r="G51" s="486">
        <v>0</v>
      </c>
      <c r="H51" s="486"/>
      <c r="I51" s="486"/>
      <c r="J51" s="486">
        <v>0</v>
      </c>
      <c r="K51" s="486"/>
      <c r="L51" s="486"/>
      <c r="M51" s="486"/>
      <c r="N51" s="286">
        <v>0</v>
      </c>
    </row>
    <row r="52" spans="1:14" ht="18" customHeight="1">
      <c r="A52" s="488" t="s">
        <v>657</v>
      </c>
      <c r="B52" s="488"/>
      <c r="C52" s="488"/>
      <c r="D52" s="488"/>
      <c r="E52" s="486">
        <v>0</v>
      </c>
      <c r="F52" s="486"/>
      <c r="G52" s="486">
        <v>0</v>
      </c>
      <c r="H52" s="486"/>
      <c r="I52" s="486"/>
      <c r="J52" s="486">
        <v>0</v>
      </c>
      <c r="K52" s="486"/>
      <c r="L52" s="486"/>
      <c r="M52" s="486"/>
      <c r="N52" s="286">
        <v>0</v>
      </c>
    </row>
    <row r="53" spans="1:14" ht="18" customHeight="1">
      <c r="A53" s="488" t="s">
        <v>658</v>
      </c>
      <c r="B53" s="488"/>
      <c r="C53" s="488"/>
      <c r="D53" s="488"/>
      <c r="E53" s="486">
        <v>0</v>
      </c>
      <c r="F53" s="486"/>
      <c r="G53" s="486">
        <v>0</v>
      </c>
      <c r="H53" s="486"/>
      <c r="I53" s="486"/>
      <c r="J53" s="486">
        <v>0</v>
      </c>
      <c r="K53" s="486"/>
      <c r="L53" s="486"/>
      <c r="M53" s="486"/>
      <c r="N53" s="286">
        <v>0</v>
      </c>
    </row>
    <row r="54" spans="1:14" ht="18" customHeight="1">
      <c r="A54" s="488" t="s">
        <v>659</v>
      </c>
      <c r="B54" s="488"/>
      <c r="C54" s="488"/>
      <c r="D54" s="488"/>
      <c r="E54" s="486">
        <v>0</v>
      </c>
      <c r="F54" s="486"/>
      <c r="G54" s="486">
        <v>0</v>
      </c>
      <c r="H54" s="486"/>
      <c r="I54" s="486"/>
      <c r="J54" s="486">
        <v>0</v>
      </c>
      <c r="K54" s="486"/>
      <c r="L54" s="486"/>
      <c r="M54" s="486"/>
      <c r="N54" s="286">
        <v>0</v>
      </c>
    </row>
    <row r="55" spans="1:14" ht="18" customHeight="1">
      <c r="A55" s="488" t="s">
        <v>660</v>
      </c>
      <c r="B55" s="488"/>
      <c r="C55" s="488"/>
      <c r="D55" s="488"/>
      <c r="E55" s="486">
        <v>0</v>
      </c>
      <c r="F55" s="486"/>
      <c r="G55" s="486">
        <v>0</v>
      </c>
      <c r="H55" s="486"/>
      <c r="I55" s="486"/>
      <c r="J55" s="486">
        <v>0</v>
      </c>
      <c r="K55" s="486"/>
      <c r="L55" s="486"/>
      <c r="M55" s="486"/>
      <c r="N55" s="286">
        <v>0</v>
      </c>
    </row>
    <row r="56" spans="1:14" ht="18" customHeight="1">
      <c r="A56" s="487" t="s">
        <v>661</v>
      </c>
      <c r="B56" s="487"/>
      <c r="C56" s="487"/>
      <c r="D56" s="487"/>
      <c r="E56" s="484">
        <v>0</v>
      </c>
      <c r="F56" s="484"/>
      <c r="G56" s="484">
        <v>0</v>
      </c>
      <c r="H56" s="484"/>
      <c r="I56" s="484"/>
      <c r="J56" s="484">
        <v>0</v>
      </c>
      <c r="K56" s="484"/>
      <c r="L56" s="484"/>
      <c r="M56" s="484"/>
      <c r="N56" s="284">
        <v>0</v>
      </c>
    </row>
    <row r="57" spans="1:14" ht="18" customHeight="1">
      <c r="A57" s="483" t="s">
        <v>662</v>
      </c>
      <c r="B57" s="483"/>
      <c r="C57" s="483"/>
      <c r="D57" s="483"/>
      <c r="E57" s="484">
        <v>0</v>
      </c>
      <c r="F57" s="484"/>
      <c r="G57" s="484">
        <v>0</v>
      </c>
      <c r="H57" s="484"/>
      <c r="I57" s="484"/>
      <c r="J57" s="484">
        <v>0</v>
      </c>
      <c r="K57" s="484"/>
      <c r="L57" s="484"/>
      <c r="M57" s="484"/>
      <c r="N57" s="284">
        <v>0</v>
      </c>
    </row>
    <row r="58" spans="1:14" ht="18" customHeight="1">
      <c r="A58" s="485" t="s">
        <v>663</v>
      </c>
      <c r="B58" s="485"/>
      <c r="C58" s="485"/>
      <c r="D58" s="485"/>
      <c r="E58" s="486">
        <v>0</v>
      </c>
      <c r="F58" s="486"/>
      <c r="G58" s="486">
        <v>0</v>
      </c>
      <c r="H58" s="486"/>
      <c r="I58" s="486"/>
      <c r="J58" s="486">
        <v>0</v>
      </c>
      <c r="K58" s="486"/>
      <c r="L58" s="486"/>
      <c r="M58" s="486"/>
      <c r="N58" s="286">
        <v>0</v>
      </c>
    </row>
    <row r="59" spans="1:14" ht="18" customHeight="1">
      <c r="A59" s="483" t="s">
        <v>664</v>
      </c>
      <c r="B59" s="483"/>
      <c r="C59" s="483"/>
      <c r="D59" s="483"/>
      <c r="E59" s="484">
        <v>0</v>
      </c>
      <c r="F59" s="484"/>
      <c r="G59" s="484">
        <v>0</v>
      </c>
      <c r="H59" s="484"/>
      <c r="I59" s="484"/>
      <c r="J59" s="484">
        <v>0</v>
      </c>
      <c r="K59" s="484"/>
      <c r="L59" s="484"/>
      <c r="M59" s="484"/>
      <c r="N59" s="284">
        <v>0</v>
      </c>
    </row>
    <row r="60" spans="1:14" ht="18" customHeight="1">
      <c r="A60" s="485" t="s">
        <v>665</v>
      </c>
      <c r="B60" s="485"/>
      <c r="C60" s="485"/>
      <c r="D60" s="485"/>
      <c r="E60" s="486">
        <v>0</v>
      </c>
      <c r="F60" s="486"/>
      <c r="G60" s="486">
        <v>0</v>
      </c>
      <c r="H60" s="486"/>
      <c r="I60" s="486"/>
      <c r="J60" s="486">
        <v>0</v>
      </c>
      <c r="K60" s="486"/>
      <c r="L60" s="486"/>
      <c r="M60" s="486"/>
      <c r="N60" s="286">
        <v>0</v>
      </c>
    </row>
    <row r="61" spans="1:14" ht="18" customHeight="1">
      <c r="A61" s="487" t="s">
        <v>562</v>
      </c>
      <c r="B61" s="487"/>
      <c r="C61" s="487"/>
      <c r="D61" s="487"/>
      <c r="E61" s="484">
        <v>1399463.11</v>
      </c>
      <c r="F61" s="484"/>
      <c r="G61" s="484">
        <v>1534303.76</v>
      </c>
      <c r="H61" s="484"/>
      <c r="I61" s="484"/>
      <c r="J61" s="484">
        <v>1534303.76</v>
      </c>
      <c r="K61" s="484"/>
      <c r="L61" s="484"/>
      <c r="M61" s="484"/>
      <c r="N61" s="284">
        <v>-134840.65</v>
      </c>
    </row>
    <row r="62" spans="1:14" ht="18" customHeight="1">
      <c r="A62" s="483" t="s">
        <v>666</v>
      </c>
      <c r="B62" s="483"/>
      <c r="C62" s="483"/>
      <c r="D62" s="483"/>
      <c r="E62" s="484">
        <v>0</v>
      </c>
      <c r="F62" s="484"/>
      <c r="G62" s="484">
        <v>626.88</v>
      </c>
      <c r="H62" s="484"/>
      <c r="I62" s="484"/>
      <c r="J62" s="484">
        <v>626.88</v>
      </c>
      <c r="K62" s="484"/>
      <c r="L62" s="484"/>
      <c r="M62" s="484"/>
      <c r="N62" s="284">
        <v>-626.88</v>
      </c>
    </row>
    <row r="63" spans="1:14" ht="18" customHeight="1">
      <c r="A63" s="485" t="s">
        <v>559</v>
      </c>
      <c r="B63" s="485"/>
      <c r="C63" s="485"/>
      <c r="D63" s="485"/>
      <c r="E63" s="486">
        <v>0</v>
      </c>
      <c r="F63" s="486"/>
      <c r="G63" s="486">
        <v>626.88</v>
      </c>
      <c r="H63" s="486"/>
      <c r="I63" s="486"/>
      <c r="J63" s="486">
        <v>626.88</v>
      </c>
      <c r="K63" s="486"/>
      <c r="L63" s="486"/>
      <c r="M63" s="486"/>
      <c r="N63" s="286">
        <v>-626.88</v>
      </c>
    </row>
    <row r="64" spans="1:14" ht="18" customHeight="1">
      <c r="A64" s="485" t="s">
        <v>667</v>
      </c>
      <c r="B64" s="485"/>
      <c r="C64" s="485"/>
      <c r="D64" s="485"/>
      <c r="E64" s="486">
        <v>0</v>
      </c>
      <c r="F64" s="486"/>
      <c r="G64" s="486">
        <v>0</v>
      </c>
      <c r="H64" s="486"/>
      <c r="I64" s="486"/>
      <c r="J64" s="486">
        <v>0</v>
      </c>
      <c r="K64" s="486"/>
      <c r="L64" s="486"/>
      <c r="M64" s="486"/>
      <c r="N64" s="286">
        <v>0</v>
      </c>
    </row>
    <row r="65" spans="1:14" ht="18" customHeight="1">
      <c r="A65" s="483" t="s">
        <v>668</v>
      </c>
      <c r="B65" s="483"/>
      <c r="C65" s="483"/>
      <c r="D65" s="483"/>
      <c r="E65" s="484">
        <v>0</v>
      </c>
      <c r="F65" s="484"/>
      <c r="G65" s="484">
        <v>0</v>
      </c>
      <c r="H65" s="484"/>
      <c r="I65" s="484"/>
      <c r="J65" s="484">
        <v>0</v>
      </c>
      <c r="K65" s="484"/>
      <c r="L65" s="484"/>
      <c r="M65" s="484"/>
      <c r="N65" s="284">
        <v>0</v>
      </c>
    </row>
    <row r="66" spans="1:14" ht="18" customHeight="1">
      <c r="A66" s="485" t="s">
        <v>559</v>
      </c>
      <c r="B66" s="485"/>
      <c r="C66" s="485"/>
      <c r="D66" s="485"/>
      <c r="E66" s="486">
        <v>0</v>
      </c>
      <c r="F66" s="486"/>
      <c r="G66" s="486">
        <v>0</v>
      </c>
      <c r="H66" s="486"/>
      <c r="I66" s="486"/>
      <c r="J66" s="486">
        <v>0</v>
      </c>
      <c r="K66" s="486"/>
      <c r="L66" s="486"/>
      <c r="M66" s="486"/>
      <c r="N66" s="286">
        <v>0</v>
      </c>
    </row>
    <row r="67" spans="1:14" ht="18" customHeight="1">
      <c r="A67" s="483" t="s">
        <v>560</v>
      </c>
      <c r="B67" s="483"/>
      <c r="C67" s="483"/>
      <c r="D67" s="483"/>
      <c r="E67" s="484">
        <v>10000</v>
      </c>
      <c r="F67" s="484"/>
      <c r="G67" s="484">
        <v>27441.14</v>
      </c>
      <c r="H67" s="484"/>
      <c r="I67" s="484"/>
      <c r="J67" s="484">
        <v>27441.14</v>
      </c>
      <c r="K67" s="484"/>
      <c r="L67" s="484"/>
      <c r="M67" s="484"/>
      <c r="N67" s="284">
        <v>-17441.14</v>
      </c>
    </row>
    <row r="68" spans="1:14" ht="18" customHeight="1">
      <c r="A68" s="485" t="s">
        <v>559</v>
      </c>
      <c r="B68" s="485"/>
      <c r="C68" s="485"/>
      <c r="D68" s="485"/>
      <c r="E68" s="486">
        <v>10000</v>
      </c>
      <c r="F68" s="486"/>
      <c r="G68" s="486">
        <v>27441.14</v>
      </c>
      <c r="H68" s="486"/>
      <c r="I68" s="486"/>
      <c r="J68" s="486">
        <v>27441.14</v>
      </c>
      <c r="K68" s="486"/>
      <c r="L68" s="486"/>
      <c r="M68" s="486"/>
      <c r="N68" s="286">
        <v>-17441.14</v>
      </c>
    </row>
    <row r="69" spans="1:14" ht="18" customHeight="1">
      <c r="A69" s="485" t="s">
        <v>667</v>
      </c>
      <c r="B69" s="485"/>
      <c r="C69" s="485"/>
      <c r="D69" s="485"/>
      <c r="E69" s="486">
        <v>0</v>
      </c>
      <c r="F69" s="486"/>
      <c r="G69" s="486">
        <v>0</v>
      </c>
      <c r="H69" s="486"/>
      <c r="I69" s="486"/>
      <c r="J69" s="486">
        <v>0</v>
      </c>
      <c r="K69" s="486"/>
      <c r="L69" s="486"/>
      <c r="M69" s="486"/>
      <c r="N69" s="286">
        <v>0</v>
      </c>
    </row>
    <row r="70" spans="1:14" ht="19.5" customHeight="1">
      <c r="A70" s="483" t="s">
        <v>669</v>
      </c>
      <c r="B70" s="483"/>
      <c r="C70" s="483"/>
      <c r="D70" s="483"/>
      <c r="E70" s="484">
        <v>0</v>
      </c>
      <c r="F70" s="484"/>
      <c r="G70" s="484">
        <v>0</v>
      </c>
      <c r="H70" s="484"/>
      <c r="I70" s="484"/>
      <c r="J70" s="484">
        <v>0</v>
      </c>
      <c r="K70" s="484"/>
      <c r="L70" s="484"/>
      <c r="M70" s="484"/>
      <c r="N70" s="284">
        <v>0</v>
      </c>
    </row>
    <row r="71" spans="1:14" ht="18" customHeight="1">
      <c r="A71" s="485" t="s">
        <v>559</v>
      </c>
      <c r="B71" s="485"/>
      <c r="C71" s="485"/>
      <c r="D71" s="485"/>
      <c r="E71" s="486">
        <v>0</v>
      </c>
      <c r="F71" s="486"/>
      <c r="G71" s="486">
        <v>0</v>
      </c>
      <c r="H71" s="486"/>
      <c r="I71" s="486"/>
      <c r="J71" s="486">
        <v>0</v>
      </c>
      <c r="K71" s="486"/>
      <c r="L71" s="486"/>
      <c r="M71" s="486"/>
      <c r="N71" s="286">
        <v>0</v>
      </c>
    </row>
    <row r="72" spans="1:14" ht="18" customHeight="1">
      <c r="A72" s="485" t="s">
        <v>667</v>
      </c>
      <c r="B72" s="485"/>
      <c r="C72" s="485"/>
      <c r="D72" s="485"/>
      <c r="E72" s="486">
        <v>0</v>
      </c>
      <c r="F72" s="486"/>
      <c r="G72" s="486">
        <v>0</v>
      </c>
      <c r="H72" s="486"/>
      <c r="I72" s="486"/>
      <c r="J72" s="486">
        <v>0</v>
      </c>
      <c r="K72" s="486"/>
      <c r="L72" s="486"/>
      <c r="M72" s="486"/>
      <c r="N72" s="286">
        <v>0</v>
      </c>
    </row>
    <row r="73" spans="1:14" ht="18.75" customHeight="1">
      <c r="A73" s="483" t="s">
        <v>670</v>
      </c>
      <c r="B73" s="483"/>
      <c r="C73" s="483"/>
      <c r="D73" s="483"/>
      <c r="E73" s="484">
        <v>1375453.08</v>
      </c>
      <c r="F73" s="484"/>
      <c r="G73" s="484">
        <v>1505452.14</v>
      </c>
      <c r="H73" s="484"/>
      <c r="I73" s="484"/>
      <c r="J73" s="484">
        <v>1505452.14</v>
      </c>
      <c r="K73" s="484"/>
      <c r="L73" s="484"/>
      <c r="M73" s="484"/>
      <c r="N73" s="284">
        <v>-129999.06</v>
      </c>
    </row>
    <row r="74" spans="1:14" ht="18" customHeight="1">
      <c r="A74" s="485" t="s">
        <v>557</v>
      </c>
      <c r="B74" s="485"/>
      <c r="C74" s="485"/>
      <c r="D74" s="485"/>
      <c r="E74" s="486">
        <v>1375453.08</v>
      </c>
      <c r="F74" s="486"/>
      <c r="G74" s="486">
        <v>1505452.14</v>
      </c>
      <c r="H74" s="486"/>
      <c r="I74" s="486"/>
      <c r="J74" s="486">
        <v>1505452.14</v>
      </c>
      <c r="K74" s="486"/>
      <c r="L74" s="486"/>
      <c r="M74" s="486"/>
      <c r="N74" s="286">
        <v>-129999.06</v>
      </c>
    </row>
    <row r="75" spans="1:14" ht="18" customHeight="1">
      <c r="A75" s="485" t="s">
        <v>671</v>
      </c>
      <c r="B75" s="485"/>
      <c r="C75" s="485"/>
      <c r="D75" s="485"/>
      <c r="E75" s="486">
        <v>0</v>
      </c>
      <c r="F75" s="486"/>
      <c r="G75" s="486">
        <v>0</v>
      </c>
      <c r="H75" s="486"/>
      <c r="I75" s="486"/>
      <c r="J75" s="486">
        <v>0</v>
      </c>
      <c r="K75" s="486"/>
      <c r="L75" s="486"/>
      <c r="M75" s="486"/>
      <c r="N75" s="286">
        <v>0</v>
      </c>
    </row>
    <row r="76" spans="1:14" ht="18" customHeight="1">
      <c r="A76" s="483" t="s">
        <v>556</v>
      </c>
      <c r="B76" s="483"/>
      <c r="C76" s="483"/>
      <c r="D76" s="483"/>
      <c r="E76" s="484">
        <v>3000</v>
      </c>
      <c r="F76" s="484"/>
      <c r="G76" s="484">
        <v>783.6</v>
      </c>
      <c r="H76" s="484"/>
      <c r="I76" s="484"/>
      <c r="J76" s="484">
        <v>783.6</v>
      </c>
      <c r="K76" s="484"/>
      <c r="L76" s="484"/>
      <c r="M76" s="484"/>
      <c r="N76" s="284">
        <v>2216.4</v>
      </c>
    </row>
    <row r="77" spans="1:14" ht="18" customHeight="1">
      <c r="A77" s="485" t="s">
        <v>672</v>
      </c>
      <c r="B77" s="485"/>
      <c r="C77" s="485"/>
      <c r="D77" s="485"/>
      <c r="E77" s="486">
        <v>0</v>
      </c>
      <c r="F77" s="486"/>
      <c r="G77" s="486">
        <v>0</v>
      </c>
      <c r="H77" s="486"/>
      <c r="I77" s="486"/>
      <c r="J77" s="486">
        <v>0</v>
      </c>
      <c r="K77" s="486"/>
      <c r="L77" s="486"/>
      <c r="M77" s="486"/>
      <c r="N77" s="286">
        <v>0</v>
      </c>
    </row>
    <row r="78" spans="1:14" ht="18" customHeight="1">
      <c r="A78" s="485" t="s">
        <v>673</v>
      </c>
      <c r="B78" s="485"/>
      <c r="C78" s="485"/>
      <c r="D78" s="485"/>
      <c r="E78" s="486">
        <v>0</v>
      </c>
      <c r="F78" s="486"/>
      <c r="G78" s="486">
        <v>0</v>
      </c>
      <c r="H78" s="486"/>
      <c r="I78" s="486"/>
      <c r="J78" s="486">
        <v>0</v>
      </c>
      <c r="K78" s="486"/>
      <c r="L78" s="486"/>
      <c r="M78" s="486"/>
      <c r="N78" s="286">
        <v>0</v>
      </c>
    </row>
    <row r="79" spans="1:14" ht="18" customHeight="1">
      <c r="A79" s="485" t="s">
        <v>674</v>
      </c>
      <c r="B79" s="485"/>
      <c r="C79" s="485"/>
      <c r="D79" s="485"/>
      <c r="E79" s="486">
        <v>0</v>
      </c>
      <c r="F79" s="486"/>
      <c r="G79" s="486">
        <v>0</v>
      </c>
      <c r="H79" s="486"/>
      <c r="I79" s="486"/>
      <c r="J79" s="486">
        <v>0</v>
      </c>
      <c r="K79" s="486"/>
      <c r="L79" s="486"/>
      <c r="M79" s="486"/>
      <c r="N79" s="286">
        <v>0</v>
      </c>
    </row>
    <row r="80" spans="1:14" ht="18" customHeight="1">
      <c r="A80" s="485" t="s">
        <v>675</v>
      </c>
      <c r="B80" s="485"/>
      <c r="C80" s="485"/>
      <c r="D80" s="485"/>
      <c r="E80" s="486">
        <v>0</v>
      </c>
      <c r="F80" s="486"/>
      <c r="G80" s="486">
        <v>0</v>
      </c>
      <c r="H80" s="486"/>
      <c r="I80" s="486"/>
      <c r="J80" s="486">
        <v>0</v>
      </c>
      <c r="K80" s="486"/>
      <c r="L80" s="486"/>
      <c r="M80" s="486"/>
      <c r="N80" s="286">
        <v>0</v>
      </c>
    </row>
    <row r="81" spans="1:14" ht="18" customHeight="1">
      <c r="A81" s="485" t="s">
        <v>676</v>
      </c>
      <c r="B81" s="485"/>
      <c r="C81" s="485"/>
      <c r="D81" s="485"/>
      <c r="E81" s="486">
        <v>0</v>
      </c>
      <c r="F81" s="486"/>
      <c r="G81" s="486">
        <v>0</v>
      </c>
      <c r="H81" s="486"/>
      <c r="I81" s="486"/>
      <c r="J81" s="486">
        <v>0</v>
      </c>
      <c r="K81" s="486"/>
      <c r="L81" s="486"/>
      <c r="M81" s="486"/>
      <c r="N81" s="286">
        <v>0</v>
      </c>
    </row>
    <row r="82" spans="1:14" ht="18" customHeight="1">
      <c r="A82" s="485" t="s">
        <v>677</v>
      </c>
      <c r="B82" s="485"/>
      <c r="C82" s="485"/>
      <c r="D82" s="485"/>
      <c r="E82" s="486">
        <v>0</v>
      </c>
      <c r="F82" s="486"/>
      <c r="G82" s="486">
        <v>0</v>
      </c>
      <c r="H82" s="486"/>
      <c r="I82" s="486"/>
      <c r="J82" s="486">
        <v>0</v>
      </c>
      <c r="K82" s="486"/>
      <c r="L82" s="486"/>
      <c r="M82" s="486"/>
      <c r="N82" s="286">
        <v>0</v>
      </c>
    </row>
    <row r="83" spans="1:14" ht="18" customHeight="1">
      <c r="A83" s="485" t="s">
        <v>678</v>
      </c>
      <c r="B83" s="485"/>
      <c r="C83" s="485"/>
      <c r="D83" s="485"/>
      <c r="E83" s="486">
        <v>0</v>
      </c>
      <c r="F83" s="486"/>
      <c r="G83" s="486">
        <v>0</v>
      </c>
      <c r="H83" s="486"/>
      <c r="I83" s="486"/>
      <c r="J83" s="486">
        <v>0</v>
      </c>
      <c r="K83" s="486"/>
      <c r="L83" s="486"/>
      <c r="M83" s="486"/>
      <c r="N83" s="286">
        <v>0</v>
      </c>
    </row>
    <row r="84" spans="1:14" ht="18" customHeight="1">
      <c r="A84" s="485" t="s">
        <v>555</v>
      </c>
      <c r="B84" s="485"/>
      <c r="C84" s="485"/>
      <c r="D84" s="485"/>
      <c r="E84" s="486">
        <v>3000</v>
      </c>
      <c r="F84" s="486"/>
      <c r="G84" s="486">
        <v>783.6</v>
      </c>
      <c r="H84" s="486"/>
      <c r="I84" s="486"/>
      <c r="J84" s="486">
        <v>783.6</v>
      </c>
      <c r="K84" s="486"/>
      <c r="L84" s="486"/>
      <c r="M84" s="486"/>
      <c r="N84" s="286">
        <v>2216.4</v>
      </c>
    </row>
    <row r="85" spans="1:14" ht="18" customHeight="1">
      <c r="A85" s="485" t="s">
        <v>679</v>
      </c>
      <c r="B85" s="485"/>
      <c r="C85" s="485"/>
      <c r="D85" s="485"/>
      <c r="E85" s="486">
        <v>0</v>
      </c>
      <c r="F85" s="486"/>
      <c r="G85" s="486">
        <v>0</v>
      </c>
      <c r="H85" s="486"/>
      <c r="I85" s="486"/>
      <c r="J85" s="486">
        <v>0</v>
      </c>
      <c r="K85" s="486"/>
      <c r="L85" s="486"/>
      <c r="M85" s="486"/>
      <c r="N85" s="286">
        <v>0</v>
      </c>
    </row>
    <row r="86" spans="1:14" ht="18" customHeight="1">
      <c r="A86" s="485" t="s">
        <v>680</v>
      </c>
      <c r="B86" s="485"/>
      <c r="C86" s="485"/>
      <c r="D86" s="485"/>
      <c r="E86" s="486">
        <v>0</v>
      </c>
      <c r="F86" s="486"/>
      <c r="G86" s="486">
        <v>0</v>
      </c>
      <c r="H86" s="486"/>
      <c r="I86" s="486"/>
      <c r="J86" s="486">
        <v>0</v>
      </c>
      <c r="K86" s="486"/>
      <c r="L86" s="486"/>
      <c r="M86" s="486"/>
      <c r="N86" s="286">
        <v>0</v>
      </c>
    </row>
    <row r="87" spans="1:14" ht="18" customHeight="1">
      <c r="A87" s="485" t="s">
        <v>681</v>
      </c>
      <c r="B87" s="485"/>
      <c r="C87" s="485"/>
      <c r="D87" s="485"/>
      <c r="E87" s="486">
        <v>0</v>
      </c>
      <c r="F87" s="486"/>
      <c r="G87" s="486">
        <v>0</v>
      </c>
      <c r="H87" s="486"/>
      <c r="I87" s="486"/>
      <c r="J87" s="486">
        <v>0</v>
      </c>
      <c r="K87" s="486"/>
      <c r="L87" s="486"/>
      <c r="M87" s="486"/>
      <c r="N87" s="286">
        <v>0</v>
      </c>
    </row>
    <row r="88" spans="1:14" ht="18" customHeight="1">
      <c r="A88" s="485" t="s">
        <v>682</v>
      </c>
      <c r="B88" s="485"/>
      <c r="C88" s="485"/>
      <c r="D88" s="485"/>
      <c r="E88" s="486">
        <v>0</v>
      </c>
      <c r="F88" s="486"/>
      <c r="G88" s="486">
        <v>0</v>
      </c>
      <c r="H88" s="486"/>
      <c r="I88" s="486"/>
      <c r="J88" s="486">
        <v>0</v>
      </c>
      <c r="K88" s="486"/>
      <c r="L88" s="486"/>
      <c r="M88" s="486"/>
      <c r="N88" s="286">
        <v>0</v>
      </c>
    </row>
    <row r="89" spans="1:14" ht="18" customHeight="1">
      <c r="A89" s="485" t="s">
        <v>683</v>
      </c>
      <c r="B89" s="485"/>
      <c r="C89" s="485"/>
      <c r="D89" s="485"/>
      <c r="E89" s="486">
        <v>0</v>
      </c>
      <c r="F89" s="486"/>
      <c r="G89" s="486">
        <v>0</v>
      </c>
      <c r="H89" s="486"/>
      <c r="I89" s="486"/>
      <c r="J89" s="486">
        <v>0</v>
      </c>
      <c r="K89" s="486"/>
      <c r="L89" s="486"/>
      <c r="M89" s="486"/>
      <c r="N89" s="286">
        <v>0</v>
      </c>
    </row>
    <row r="90" spans="1:14" ht="18" customHeight="1">
      <c r="A90" s="483" t="s">
        <v>547</v>
      </c>
      <c r="B90" s="483"/>
      <c r="C90" s="483"/>
      <c r="D90" s="483"/>
      <c r="E90" s="484">
        <v>11010.03</v>
      </c>
      <c r="F90" s="484"/>
      <c r="G90" s="484">
        <v>0</v>
      </c>
      <c r="H90" s="484"/>
      <c r="I90" s="484"/>
      <c r="J90" s="484">
        <v>0</v>
      </c>
      <c r="K90" s="484"/>
      <c r="L90" s="484"/>
      <c r="M90" s="484"/>
      <c r="N90" s="284">
        <v>11010.03</v>
      </c>
    </row>
    <row r="91" spans="1:14" ht="18" customHeight="1">
      <c r="A91" s="485" t="s">
        <v>554</v>
      </c>
      <c r="B91" s="485"/>
      <c r="C91" s="485"/>
      <c r="D91" s="485"/>
      <c r="E91" s="486">
        <v>11010.03</v>
      </c>
      <c r="F91" s="486"/>
      <c r="G91" s="486">
        <v>0</v>
      </c>
      <c r="H91" s="486"/>
      <c r="I91" s="486"/>
      <c r="J91" s="486">
        <v>0</v>
      </c>
      <c r="K91" s="486"/>
      <c r="L91" s="486"/>
      <c r="M91" s="486"/>
      <c r="N91" s="286">
        <v>11010.03</v>
      </c>
    </row>
    <row r="92" spans="1:14" ht="18" customHeight="1">
      <c r="A92" s="487" t="s">
        <v>553</v>
      </c>
      <c r="B92" s="487"/>
      <c r="C92" s="487"/>
      <c r="D92" s="487"/>
      <c r="E92" s="484">
        <v>209552.21</v>
      </c>
      <c r="F92" s="484"/>
      <c r="G92" s="484">
        <v>274582.28999999998</v>
      </c>
      <c r="H92" s="484"/>
      <c r="I92" s="484"/>
      <c r="J92" s="484">
        <v>274582.28999999998</v>
      </c>
      <c r="K92" s="484"/>
      <c r="L92" s="484"/>
      <c r="M92" s="484"/>
      <c r="N92" s="284">
        <v>-65030.080000000002</v>
      </c>
    </row>
    <row r="93" spans="1:14" ht="19.5" customHeight="1">
      <c r="A93" s="483" t="s">
        <v>684</v>
      </c>
      <c r="B93" s="483"/>
      <c r="C93" s="483"/>
      <c r="D93" s="483"/>
      <c r="E93" s="484">
        <v>0</v>
      </c>
      <c r="F93" s="484"/>
      <c r="G93" s="484">
        <v>0</v>
      </c>
      <c r="H93" s="484"/>
      <c r="I93" s="484"/>
      <c r="J93" s="484">
        <v>0</v>
      </c>
      <c r="K93" s="484"/>
      <c r="L93" s="484"/>
      <c r="M93" s="484"/>
      <c r="N93" s="284">
        <v>0</v>
      </c>
    </row>
    <row r="94" spans="1:14" ht="18" customHeight="1">
      <c r="A94" s="485" t="s">
        <v>685</v>
      </c>
      <c r="B94" s="485"/>
      <c r="C94" s="485"/>
      <c r="D94" s="485"/>
      <c r="E94" s="486">
        <v>0</v>
      </c>
      <c r="F94" s="486"/>
      <c r="G94" s="486">
        <v>0</v>
      </c>
      <c r="H94" s="486"/>
      <c r="I94" s="486"/>
      <c r="J94" s="486">
        <v>0</v>
      </c>
      <c r="K94" s="486"/>
      <c r="L94" s="486"/>
      <c r="M94" s="486"/>
      <c r="N94" s="286">
        <v>0</v>
      </c>
    </row>
    <row r="95" spans="1:14" ht="18" customHeight="1">
      <c r="A95" s="485" t="s">
        <v>686</v>
      </c>
      <c r="B95" s="485"/>
      <c r="C95" s="485"/>
      <c r="D95" s="485"/>
      <c r="E95" s="486">
        <v>0</v>
      </c>
      <c r="F95" s="486"/>
      <c r="G95" s="486">
        <v>0</v>
      </c>
      <c r="H95" s="486"/>
      <c r="I95" s="486"/>
      <c r="J95" s="486">
        <v>0</v>
      </c>
      <c r="K95" s="486"/>
      <c r="L95" s="486"/>
      <c r="M95" s="486"/>
      <c r="N95" s="286">
        <v>0</v>
      </c>
    </row>
    <row r="96" spans="1:14" ht="18" customHeight="1">
      <c r="A96" s="483" t="s">
        <v>552</v>
      </c>
      <c r="B96" s="483"/>
      <c r="C96" s="483"/>
      <c r="D96" s="483"/>
      <c r="E96" s="484">
        <v>161552.21</v>
      </c>
      <c r="F96" s="484"/>
      <c r="G96" s="484">
        <v>183729.85</v>
      </c>
      <c r="H96" s="484"/>
      <c r="I96" s="484"/>
      <c r="J96" s="484">
        <v>183729.85</v>
      </c>
      <c r="K96" s="484"/>
      <c r="L96" s="484"/>
      <c r="M96" s="484"/>
      <c r="N96" s="284">
        <v>-22177.64</v>
      </c>
    </row>
    <row r="97" spans="1:14" ht="18" customHeight="1">
      <c r="A97" s="485" t="s">
        <v>551</v>
      </c>
      <c r="B97" s="485"/>
      <c r="C97" s="485"/>
      <c r="D97" s="485"/>
      <c r="E97" s="486">
        <v>161552.21</v>
      </c>
      <c r="F97" s="486"/>
      <c r="G97" s="486">
        <v>183729.85</v>
      </c>
      <c r="H97" s="486"/>
      <c r="I97" s="486"/>
      <c r="J97" s="486">
        <v>183729.85</v>
      </c>
      <c r="K97" s="486"/>
      <c r="L97" s="486"/>
      <c r="M97" s="486"/>
      <c r="N97" s="286">
        <v>-22177.64</v>
      </c>
    </row>
    <row r="98" spans="1:14" ht="18" customHeight="1">
      <c r="A98" s="485" t="s">
        <v>687</v>
      </c>
      <c r="B98" s="485"/>
      <c r="C98" s="485"/>
      <c r="D98" s="485"/>
      <c r="E98" s="486">
        <v>0</v>
      </c>
      <c r="F98" s="486"/>
      <c r="G98" s="486">
        <v>0</v>
      </c>
      <c r="H98" s="486"/>
      <c r="I98" s="486"/>
      <c r="J98" s="486">
        <v>0</v>
      </c>
      <c r="K98" s="486"/>
      <c r="L98" s="486"/>
      <c r="M98" s="486"/>
      <c r="N98" s="286">
        <v>0</v>
      </c>
    </row>
    <row r="99" spans="1:14" ht="18" customHeight="1">
      <c r="A99" s="485" t="s">
        <v>688</v>
      </c>
      <c r="B99" s="485"/>
      <c r="C99" s="485"/>
      <c r="D99" s="485"/>
      <c r="E99" s="486">
        <v>0</v>
      </c>
      <c r="F99" s="486"/>
      <c r="G99" s="486">
        <v>0</v>
      </c>
      <c r="H99" s="486"/>
      <c r="I99" s="486"/>
      <c r="J99" s="486">
        <v>0</v>
      </c>
      <c r="K99" s="486"/>
      <c r="L99" s="486"/>
      <c r="M99" s="486"/>
      <c r="N99" s="286">
        <v>0</v>
      </c>
    </row>
    <row r="100" spans="1:14" ht="18" customHeight="1">
      <c r="A100" s="485" t="s">
        <v>689</v>
      </c>
      <c r="B100" s="485"/>
      <c r="C100" s="485"/>
      <c r="D100" s="485"/>
      <c r="E100" s="486">
        <v>0</v>
      </c>
      <c r="F100" s="486"/>
      <c r="G100" s="486">
        <v>0</v>
      </c>
      <c r="H100" s="486"/>
      <c r="I100" s="486"/>
      <c r="J100" s="486">
        <v>0</v>
      </c>
      <c r="K100" s="486"/>
      <c r="L100" s="486"/>
      <c r="M100" s="486"/>
      <c r="N100" s="286">
        <v>0</v>
      </c>
    </row>
    <row r="101" spans="1:14" ht="18" customHeight="1">
      <c r="A101" s="483" t="s">
        <v>690</v>
      </c>
      <c r="B101" s="483"/>
      <c r="C101" s="483"/>
      <c r="D101" s="483"/>
      <c r="E101" s="484">
        <v>0</v>
      </c>
      <c r="F101" s="484"/>
      <c r="G101" s="484">
        <v>0</v>
      </c>
      <c r="H101" s="484"/>
      <c r="I101" s="484"/>
      <c r="J101" s="484">
        <v>0</v>
      </c>
      <c r="K101" s="484"/>
      <c r="L101" s="484"/>
      <c r="M101" s="484"/>
      <c r="N101" s="284">
        <v>0</v>
      </c>
    </row>
    <row r="102" spans="1:14" ht="18" customHeight="1">
      <c r="A102" s="485" t="s">
        <v>543</v>
      </c>
      <c r="B102" s="485"/>
      <c r="C102" s="485"/>
      <c r="D102" s="485"/>
      <c r="E102" s="486">
        <v>0</v>
      </c>
      <c r="F102" s="486"/>
      <c r="G102" s="486">
        <v>0</v>
      </c>
      <c r="H102" s="486"/>
      <c r="I102" s="486"/>
      <c r="J102" s="486">
        <v>0</v>
      </c>
      <c r="K102" s="486"/>
      <c r="L102" s="486"/>
      <c r="M102" s="486"/>
      <c r="N102" s="286">
        <v>0</v>
      </c>
    </row>
    <row r="103" spans="1:14" ht="18" customHeight="1">
      <c r="A103" s="485" t="s">
        <v>687</v>
      </c>
      <c r="B103" s="485"/>
      <c r="C103" s="485"/>
      <c r="D103" s="485"/>
      <c r="E103" s="486">
        <v>0</v>
      </c>
      <c r="F103" s="486"/>
      <c r="G103" s="486">
        <v>0</v>
      </c>
      <c r="H103" s="486"/>
      <c r="I103" s="486"/>
      <c r="J103" s="486">
        <v>0</v>
      </c>
      <c r="K103" s="486"/>
      <c r="L103" s="486"/>
      <c r="M103" s="486"/>
      <c r="N103" s="286">
        <v>0</v>
      </c>
    </row>
    <row r="104" spans="1:14" ht="18" customHeight="1">
      <c r="A104" s="483" t="s">
        <v>550</v>
      </c>
      <c r="B104" s="483"/>
      <c r="C104" s="483"/>
      <c r="D104" s="483"/>
      <c r="E104" s="484">
        <v>48000</v>
      </c>
      <c r="F104" s="484"/>
      <c r="G104" s="484">
        <v>90852.44</v>
      </c>
      <c r="H104" s="484"/>
      <c r="I104" s="484"/>
      <c r="J104" s="484">
        <v>90852.44</v>
      </c>
      <c r="K104" s="484"/>
      <c r="L104" s="484"/>
      <c r="M104" s="484"/>
      <c r="N104" s="284">
        <v>-42852.44</v>
      </c>
    </row>
    <row r="105" spans="1:14" ht="18" customHeight="1">
      <c r="A105" s="491" t="s">
        <v>691</v>
      </c>
      <c r="B105" s="491"/>
      <c r="C105" s="491"/>
      <c r="D105" s="491"/>
      <c r="E105" s="484">
        <v>0</v>
      </c>
      <c r="F105" s="484"/>
      <c r="G105" s="484">
        <v>0</v>
      </c>
      <c r="H105" s="484"/>
      <c r="I105" s="484"/>
      <c r="J105" s="484">
        <v>0</v>
      </c>
      <c r="K105" s="484"/>
      <c r="L105" s="484"/>
      <c r="M105" s="484"/>
      <c r="N105" s="284">
        <v>0</v>
      </c>
    </row>
    <row r="106" spans="1:14" ht="18" customHeight="1">
      <c r="A106" s="490" t="s">
        <v>543</v>
      </c>
      <c r="B106" s="490"/>
      <c r="C106" s="490"/>
      <c r="D106" s="490"/>
      <c r="E106" s="486">
        <v>0</v>
      </c>
      <c r="F106" s="486"/>
      <c r="G106" s="486">
        <v>0</v>
      </c>
      <c r="H106" s="486"/>
      <c r="I106" s="486"/>
      <c r="J106" s="486">
        <v>0</v>
      </c>
      <c r="K106" s="486"/>
      <c r="L106" s="486"/>
      <c r="M106" s="486"/>
      <c r="N106" s="286">
        <v>0</v>
      </c>
    </row>
    <row r="107" spans="1:14" ht="18" customHeight="1">
      <c r="A107" s="490" t="s">
        <v>687</v>
      </c>
      <c r="B107" s="490"/>
      <c r="C107" s="490"/>
      <c r="D107" s="490"/>
      <c r="E107" s="486">
        <v>0</v>
      </c>
      <c r="F107" s="486"/>
      <c r="G107" s="486">
        <v>0</v>
      </c>
      <c r="H107" s="486"/>
      <c r="I107" s="486"/>
      <c r="J107" s="486">
        <v>0</v>
      </c>
      <c r="K107" s="486"/>
      <c r="L107" s="486"/>
      <c r="M107" s="486"/>
      <c r="N107" s="286">
        <v>0</v>
      </c>
    </row>
    <row r="108" spans="1:14" ht="19.5" customHeight="1">
      <c r="A108" s="491" t="s">
        <v>692</v>
      </c>
      <c r="B108" s="491"/>
      <c r="C108" s="491"/>
      <c r="D108" s="491"/>
      <c r="E108" s="484">
        <v>0</v>
      </c>
      <c r="F108" s="484"/>
      <c r="G108" s="484">
        <v>0</v>
      </c>
      <c r="H108" s="484"/>
      <c r="I108" s="484"/>
      <c r="J108" s="484">
        <v>0</v>
      </c>
      <c r="K108" s="484"/>
      <c r="L108" s="484"/>
      <c r="M108" s="484"/>
      <c r="N108" s="284">
        <v>0</v>
      </c>
    </row>
    <row r="109" spans="1:14" ht="18" customHeight="1">
      <c r="A109" s="490" t="s">
        <v>543</v>
      </c>
      <c r="B109" s="490"/>
      <c r="C109" s="490"/>
      <c r="D109" s="490"/>
      <c r="E109" s="486">
        <v>0</v>
      </c>
      <c r="F109" s="486"/>
      <c r="G109" s="486">
        <v>0</v>
      </c>
      <c r="H109" s="486"/>
      <c r="I109" s="486"/>
      <c r="J109" s="486">
        <v>0</v>
      </c>
      <c r="K109" s="486"/>
      <c r="L109" s="486"/>
      <c r="M109" s="486"/>
      <c r="N109" s="286">
        <v>0</v>
      </c>
    </row>
    <row r="110" spans="1:14" ht="18" customHeight="1">
      <c r="A110" s="490" t="s">
        <v>687</v>
      </c>
      <c r="B110" s="490"/>
      <c r="C110" s="490"/>
      <c r="D110" s="490"/>
      <c r="E110" s="486">
        <v>0</v>
      </c>
      <c r="F110" s="486"/>
      <c r="G110" s="486">
        <v>0</v>
      </c>
      <c r="H110" s="486"/>
      <c r="I110" s="486"/>
      <c r="J110" s="486">
        <v>0</v>
      </c>
      <c r="K110" s="486"/>
      <c r="L110" s="486"/>
      <c r="M110" s="486"/>
      <c r="N110" s="286">
        <v>0</v>
      </c>
    </row>
    <row r="111" spans="1:14" ht="18" customHeight="1">
      <c r="A111" s="491" t="s">
        <v>693</v>
      </c>
      <c r="B111" s="491"/>
      <c r="C111" s="491"/>
      <c r="D111" s="491"/>
      <c r="E111" s="484">
        <v>0</v>
      </c>
      <c r="F111" s="484"/>
      <c r="G111" s="484">
        <v>0</v>
      </c>
      <c r="H111" s="484"/>
      <c r="I111" s="484"/>
      <c r="J111" s="484">
        <v>0</v>
      </c>
      <c r="K111" s="484"/>
      <c r="L111" s="484"/>
      <c r="M111" s="484"/>
      <c r="N111" s="284">
        <v>0</v>
      </c>
    </row>
    <row r="112" spans="1:14" ht="18" customHeight="1">
      <c r="A112" s="490" t="s">
        <v>543</v>
      </c>
      <c r="B112" s="490"/>
      <c r="C112" s="490"/>
      <c r="D112" s="490"/>
      <c r="E112" s="486">
        <v>0</v>
      </c>
      <c r="F112" s="486"/>
      <c r="G112" s="486">
        <v>0</v>
      </c>
      <c r="H112" s="486"/>
      <c r="I112" s="486"/>
      <c r="J112" s="486">
        <v>0</v>
      </c>
      <c r="K112" s="486"/>
      <c r="L112" s="486"/>
      <c r="M112" s="486"/>
      <c r="N112" s="286">
        <v>0</v>
      </c>
    </row>
    <row r="113" spans="1:14" ht="18" customHeight="1">
      <c r="A113" s="490" t="s">
        <v>687</v>
      </c>
      <c r="B113" s="490"/>
      <c r="C113" s="490"/>
      <c r="D113" s="490"/>
      <c r="E113" s="486">
        <v>0</v>
      </c>
      <c r="F113" s="486"/>
      <c r="G113" s="486">
        <v>0</v>
      </c>
      <c r="H113" s="486"/>
      <c r="I113" s="486"/>
      <c r="J113" s="486">
        <v>0</v>
      </c>
      <c r="K113" s="486"/>
      <c r="L113" s="486"/>
      <c r="M113" s="486"/>
      <c r="N113" s="286">
        <v>0</v>
      </c>
    </row>
    <row r="114" spans="1:14" ht="18.75" customHeight="1">
      <c r="A114" s="491" t="s">
        <v>549</v>
      </c>
      <c r="B114" s="491"/>
      <c r="C114" s="491"/>
      <c r="D114" s="491"/>
      <c r="E114" s="484">
        <v>48000</v>
      </c>
      <c r="F114" s="484"/>
      <c r="G114" s="484">
        <v>90852.44</v>
      </c>
      <c r="H114" s="484"/>
      <c r="I114" s="484"/>
      <c r="J114" s="484">
        <v>90852.44</v>
      </c>
      <c r="K114" s="484"/>
      <c r="L114" s="484"/>
      <c r="M114" s="484"/>
      <c r="N114" s="284">
        <v>-42852.44</v>
      </c>
    </row>
    <row r="115" spans="1:14" ht="18" customHeight="1">
      <c r="A115" s="490" t="s">
        <v>548</v>
      </c>
      <c r="B115" s="490"/>
      <c r="C115" s="490"/>
      <c r="D115" s="490"/>
      <c r="E115" s="486">
        <v>48000</v>
      </c>
      <c r="F115" s="486"/>
      <c r="G115" s="486">
        <v>90852.44</v>
      </c>
      <c r="H115" s="486"/>
      <c r="I115" s="486"/>
      <c r="J115" s="486">
        <v>90852.44</v>
      </c>
      <c r="K115" s="486"/>
      <c r="L115" s="486"/>
      <c r="M115" s="486"/>
      <c r="N115" s="286">
        <v>-42852.44</v>
      </c>
    </row>
    <row r="116" spans="1:14" ht="18" customHeight="1">
      <c r="A116" s="490" t="s">
        <v>694</v>
      </c>
      <c r="B116" s="490"/>
      <c r="C116" s="490"/>
      <c r="D116" s="490"/>
      <c r="E116" s="486">
        <v>0</v>
      </c>
      <c r="F116" s="486"/>
      <c r="G116" s="486">
        <v>0</v>
      </c>
      <c r="H116" s="486"/>
      <c r="I116" s="486"/>
      <c r="J116" s="486">
        <v>0</v>
      </c>
      <c r="K116" s="486"/>
      <c r="L116" s="486"/>
      <c r="M116" s="486"/>
      <c r="N116" s="286">
        <v>0</v>
      </c>
    </row>
    <row r="117" spans="1:14" ht="18" customHeight="1">
      <c r="A117" s="490" t="s">
        <v>695</v>
      </c>
      <c r="B117" s="490"/>
      <c r="C117" s="490"/>
      <c r="D117" s="490"/>
      <c r="E117" s="486">
        <v>0</v>
      </c>
      <c r="F117" s="486"/>
      <c r="G117" s="486">
        <v>0</v>
      </c>
      <c r="H117" s="486"/>
      <c r="I117" s="486"/>
      <c r="J117" s="486">
        <v>0</v>
      </c>
      <c r="K117" s="486"/>
      <c r="L117" s="486"/>
      <c r="M117" s="486"/>
      <c r="N117" s="286">
        <v>0</v>
      </c>
    </row>
    <row r="118" spans="1:14" ht="22.5" customHeight="1">
      <c r="A118" s="490" t="s">
        <v>696</v>
      </c>
      <c r="B118" s="490"/>
      <c r="C118" s="490"/>
      <c r="D118" s="490"/>
      <c r="E118" s="486">
        <v>0</v>
      </c>
      <c r="F118" s="486"/>
      <c r="G118" s="486">
        <v>0</v>
      </c>
      <c r="H118" s="486"/>
      <c r="I118" s="486"/>
      <c r="J118" s="486">
        <v>0</v>
      </c>
      <c r="K118" s="486"/>
      <c r="L118" s="486"/>
      <c r="M118" s="486"/>
      <c r="N118" s="286">
        <v>0</v>
      </c>
    </row>
    <row r="119" spans="1:14" ht="18" customHeight="1">
      <c r="A119" s="487" t="s">
        <v>697</v>
      </c>
      <c r="B119" s="487"/>
      <c r="C119" s="487"/>
      <c r="D119" s="487"/>
      <c r="E119" s="484">
        <v>0</v>
      </c>
      <c r="F119" s="484"/>
      <c r="G119" s="484">
        <v>0</v>
      </c>
      <c r="H119" s="484"/>
      <c r="I119" s="484"/>
      <c r="J119" s="484">
        <v>0</v>
      </c>
      <c r="K119" s="484"/>
      <c r="L119" s="484"/>
      <c r="M119" s="484"/>
      <c r="N119" s="284">
        <v>0</v>
      </c>
    </row>
    <row r="120" spans="1:14" ht="18" customHeight="1">
      <c r="A120" s="488" t="s">
        <v>698</v>
      </c>
      <c r="B120" s="488"/>
      <c r="C120" s="488"/>
      <c r="D120" s="488"/>
      <c r="E120" s="486">
        <v>0</v>
      </c>
      <c r="F120" s="486"/>
      <c r="G120" s="486">
        <v>0</v>
      </c>
      <c r="H120" s="486"/>
      <c r="I120" s="486"/>
      <c r="J120" s="486">
        <v>0</v>
      </c>
      <c r="K120" s="486"/>
      <c r="L120" s="486"/>
      <c r="M120" s="486"/>
      <c r="N120" s="286">
        <v>0</v>
      </c>
    </row>
    <row r="121" spans="1:14" ht="18" customHeight="1">
      <c r="A121" s="488" t="s">
        <v>699</v>
      </c>
      <c r="B121" s="488"/>
      <c r="C121" s="488"/>
      <c r="D121" s="488"/>
      <c r="E121" s="486">
        <v>0</v>
      </c>
      <c r="F121" s="486"/>
      <c r="G121" s="486">
        <v>0</v>
      </c>
      <c r="H121" s="486"/>
      <c r="I121" s="486"/>
      <c r="J121" s="486">
        <v>0</v>
      </c>
      <c r="K121" s="486"/>
      <c r="L121" s="486"/>
      <c r="M121" s="486"/>
      <c r="N121" s="286">
        <v>0</v>
      </c>
    </row>
    <row r="122" spans="1:14" ht="18" customHeight="1">
      <c r="A122" s="488" t="s">
        <v>700</v>
      </c>
      <c r="B122" s="488"/>
      <c r="C122" s="488"/>
      <c r="D122" s="488"/>
      <c r="E122" s="486">
        <v>0</v>
      </c>
      <c r="F122" s="486"/>
      <c r="G122" s="486">
        <v>0</v>
      </c>
      <c r="H122" s="486"/>
      <c r="I122" s="486"/>
      <c r="J122" s="486">
        <v>0</v>
      </c>
      <c r="K122" s="486"/>
      <c r="L122" s="486"/>
      <c r="M122" s="486"/>
      <c r="N122" s="286">
        <v>0</v>
      </c>
    </row>
    <row r="123" spans="1:14" ht="18" customHeight="1">
      <c r="A123" s="488" t="s">
        <v>701</v>
      </c>
      <c r="B123" s="488"/>
      <c r="C123" s="488"/>
      <c r="D123" s="488"/>
      <c r="E123" s="486">
        <v>0</v>
      </c>
      <c r="F123" s="486"/>
      <c r="G123" s="486">
        <v>0</v>
      </c>
      <c r="H123" s="486"/>
      <c r="I123" s="486"/>
      <c r="J123" s="486">
        <v>0</v>
      </c>
      <c r="K123" s="486"/>
      <c r="L123" s="486"/>
      <c r="M123" s="486"/>
      <c r="N123" s="286">
        <v>0</v>
      </c>
    </row>
    <row r="124" spans="1:14" ht="18" customHeight="1">
      <c r="A124" s="487" t="s">
        <v>547</v>
      </c>
      <c r="B124" s="487"/>
      <c r="C124" s="487"/>
      <c r="D124" s="487"/>
      <c r="E124" s="484">
        <v>17360.240000000002</v>
      </c>
      <c r="F124" s="484"/>
      <c r="G124" s="484">
        <v>46111.44</v>
      </c>
      <c r="H124" s="484"/>
      <c r="I124" s="484"/>
      <c r="J124" s="484">
        <v>46111.44</v>
      </c>
      <c r="K124" s="484"/>
      <c r="L124" s="484"/>
      <c r="M124" s="484"/>
      <c r="N124" s="284">
        <v>-28751.200000000001</v>
      </c>
    </row>
    <row r="125" spans="1:14" ht="18" customHeight="1">
      <c r="A125" s="483" t="s">
        <v>546</v>
      </c>
      <c r="B125" s="483"/>
      <c r="C125" s="483"/>
      <c r="D125" s="483"/>
      <c r="E125" s="484">
        <v>0</v>
      </c>
      <c r="F125" s="484"/>
      <c r="G125" s="484">
        <v>940.32</v>
      </c>
      <c r="H125" s="484"/>
      <c r="I125" s="484"/>
      <c r="J125" s="484">
        <v>940.32</v>
      </c>
      <c r="K125" s="484"/>
      <c r="L125" s="484"/>
      <c r="M125" s="484"/>
      <c r="N125" s="284">
        <v>-940.32</v>
      </c>
    </row>
    <row r="126" spans="1:14" ht="18" customHeight="1">
      <c r="A126" s="485" t="s">
        <v>702</v>
      </c>
      <c r="B126" s="485"/>
      <c r="C126" s="485"/>
      <c r="D126" s="485"/>
      <c r="E126" s="486">
        <v>0</v>
      </c>
      <c r="F126" s="486"/>
      <c r="G126" s="486">
        <v>0</v>
      </c>
      <c r="H126" s="486"/>
      <c r="I126" s="486"/>
      <c r="J126" s="486">
        <v>0</v>
      </c>
      <c r="K126" s="486"/>
      <c r="L126" s="486"/>
      <c r="M126" s="486"/>
      <c r="N126" s="286">
        <v>0</v>
      </c>
    </row>
    <row r="127" spans="1:14" ht="22.5" customHeight="1">
      <c r="A127" s="485" t="s">
        <v>545</v>
      </c>
      <c r="B127" s="485"/>
      <c r="C127" s="485"/>
      <c r="D127" s="485"/>
      <c r="E127" s="486">
        <v>0</v>
      </c>
      <c r="F127" s="486"/>
      <c r="G127" s="486">
        <v>940.32</v>
      </c>
      <c r="H127" s="486"/>
      <c r="I127" s="486"/>
      <c r="J127" s="486">
        <v>940.32</v>
      </c>
      <c r="K127" s="486"/>
      <c r="L127" s="486"/>
      <c r="M127" s="486"/>
      <c r="N127" s="286">
        <v>-940.32</v>
      </c>
    </row>
    <row r="128" spans="1:14" ht="18" customHeight="1">
      <c r="A128" s="483" t="s">
        <v>544</v>
      </c>
      <c r="B128" s="483"/>
      <c r="C128" s="483"/>
      <c r="D128" s="483"/>
      <c r="E128" s="484">
        <v>3370.27</v>
      </c>
      <c r="F128" s="484"/>
      <c r="G128" s="484">
        <v>0</v>
      </c>
      <c r="H128" s="484"/>
      <c r="I128" s="484"/>
      <c r="J128" s="484">
        <v>0</v>
      </c>
      <c r="K128" s="484"/>
      <c r="L128" s="484"/>
      <c r="M128" s="484"/>
      <c r="N128" s="284">
        <v>3370.27</v>
      </c>
    </row>
    <row r="129" spans="1:14" ht="18" customHeight="1">
      <c r="A129" s="485" t="s">
        <v>543</v>
      </c>
      <c r="B129" s="485"/>
      <c r="C129" s="485"/>
      <c r="D129" s="485"/>
      <c r="E129" s="486">
        <v>3370.27</v>
      </c>
      <c r="F129" s="486"/>
      <c r="G129" s="486">
        <v>0</v>
      </c>
      <c r="H129" s="486"/>
      <c r="I129" s="486"/>
      <c r="J129" s="486">
        <v>0</v>
      </c>
      <c r="K129" s="486"/>
      <c r="L129" s="486"/>
      <c r="M129" s="486"/>
      <c r="N129" s="286">
        <v>3370.27</v>
      </c>
    </row>
    <row r="130" spans="1:14" ht="18" customHeight="1">
      <c r="A130" s="485" t="s">
        <v>687</v>
      </c>
      <c r="B130" s="485"/>
      <c r="C130" s="485"/>
      <c r="D130" s="485"/>
      <c r="E130" s="486">
        <v>0</v>
      </c>
      <c r="F130" s="486"/>
      <c r="G130" s="486">
        <v>0</v>
      </c>
      <c r="H130" s="486"/>
      <c r="I130" s="486"/>
      <c r="J130" s="486">
        <v>0</v>
      </c>
      <c r="K130" s="486"/>
      <c r="L130" s="486"/>
      <c r="M130" s="486"/>
      <c r="N130" s="286">
        <v>0</v>
      </c>
    </row>
    <row r="131" spans="1:14" ht="18" customHeight="1">
      <c r="A131" s="483" t="s">
        <v>542</v>
      </c>
      <c r="B131" s="483"/>
      <c r="C131" s="483"/>
      <c r="D131" s="483"/>
      <c r="E131" s="484">
        <v>13989.97</v>
      </c>
      <c r="F131" s="484"/>
      <c r="G131" s="484">
        <v>27826.73</v>
      </c>
      <c r="H131" s="484"/>
      <c r="I131" s="484"/>
      <c r="J131" s="484">
        <v>27826.73</v>
      </c>
      <c r="K131" s="484"/>
      <c r="L131" s="484"/>
      <c r="M131" s="484"/>
      <c r="N131" s="284">
        <v>-13836.76</v>
      </c>
    </row>
    <row r="132" spans="1:14" ht="18" customHeight="1">
      <c r="A132" s="485" t="s">
        <v>703</v>
      </c>
      <c r="B132" s="485"/>
      <c r="C132" s="485"/>
      <c r="D132" s="485"/>
      <c r="E132" s="486">
        <v>0</v>
      </c>
      <c r="F132" s="486"/>
      <c r="G132" s="486">
        <v>0</v>
      </c>
      <c r="H132" s="486"/>
      <c r="I132" s="486"/>
      <c r="J132" s="486">
        <v>0</v>
      </c>
      <c r="K132" s="486"/>
      <c r="L132" s="486"/>
      <c r="M132" s="486"/>
      <c r="N132" s="286">
        <v>0</v>
      </c>
    </row>
    <row r="133" spans="1:14" ht="18" customHeight="1">
      <c r="A133" s="485" t="s">
        <v>541</v>
      </c>
      <c r="B133" s="485"/>
      <c r="C133" s="485"/>
      <c r="D133" s="485"/>
      <c r="E133" s="486">
        <v>13989.97</v>
      </c>
      <c r="F133" s="486"/>
      <c r="G133" s="486">
        <v>27826.73</v>
      </c>
      <c r="H133" s="486"/>
      <c r="I133" s="486"/>
      <c r="J133" s="486">
        <v>27826.73</v>
      </c>
      <c r="K133" s="486"/>
      <c r="L133" s="486"/>
      <c r="M133" s="486"/>
      <c r="N133" s="286">
        <v>-13836.76</v>
      </c>
    </row>
    <row r="134" spans="1:14" ht="18" customHeight="1">
      <c r="A134" s="483" t="s">
        <v>540</v>
      </c>
      <c r="B134" s="483"/>
      <c r="C134" s="483"/>
      <c r="D134" s="483"/>
      <c r="E134" s="484">
        <v>0</v>
      </c>
      <c r="F134" s="484"/>
      <c r="G134" s="484">
        <v>17344.39</v>
      </c>
      <c r="H134" s="484"/>
      <c r="I134" s="484"/>
      <c r="J134" s="484">
        <v>17344.39</v>
      </c>
      <c r="K134" s="484"/>
      <c r="L134" s="484"/>
      <c r="M134" s="484"/>
      <c r="N134" s="284">
        <v>-17344.39</v>
      </c>
    </row>
    <row r="135" spans="1:14" ht="18" customHeight="1">
      <c r="A135" s="485" t="s">
        <v>539</v>
      </c>
      <c r="B135" s="485"/>
      <c r="C135" s="485"/>
      <c r="D135" s="485"/>
      <c r="E135" s="486">
        <v>0</v>
      </c>
      <c r="F135" s="486"/>
      <c r="G135" s="486">
        <v>17344.39</v>
      </c>
      <c r="H135" s="486"/>
      <c r="I135" s="486"/>
      <c r="J135" s="486">
        <v>17344.39</v>
      </c>
      <c r="K135" s="486"/>
      <c r="L135" s="486"/>
      <c r="M135" s="486"/>
      <c r="N135" s="286">
        <v>-17344.39</v>
      </c>
    </row>
    <row r="136" spans="1:14" ht="18" customHeight="1">
      <c r="A136" s="489" t="s">
        <v>538</v>
      </c>
      <c r="B136" s="489"/>
      <c r="C136" s="489"/>
      <c r="D136" s="489"/>
      <c r="E136" s="484">
        <v>386000</v>
      </c>
      <c r="F136" s="484"/>
      <c r="G136" s="484">
        <v>0</v>
      </c>
      <c r="H136" s="484"/>
      <c r="I136" s="484"/>
      <c r="J136" s="484">
        <v>0</v>
      </c>
      <c r="K136" s="484"/>
      <c r="L136" s="484"/>
      <c r="M136" s="484"/>
      <c r="N136" s="284">
        <v>386000</v>
      </c>
    </row>
    <row r="137" spans="1:14" ht="18" customHeight="1">
      <c r="A137" s="487" t="s">
        <v>704</v>
      </c>
      <c r="B137" s="487"/>
      <c r="C137" s="487"/>
      <c r="D137" s="487"/>
      <c r="E137" s="484">
        <v>0</v>
      </c>
      <c r="F137" s="484"/>
      <c r="G137" s="484">
        <v>0</v>
      </c>
      <c r="H137" s="484"/>
      <c r="I137" s="484"/>
      <c r="J137" s="484">
        <v>0</v>
      </c>
      <c r="K137" s="484"/>
      <c r="L137" s="484"/>
      <c r="M137" s="484"/>
      <c r="N137" s="284">
        <v>0</v>
      </c>
    </row>
    <row r="138" spans="1:14" ht="18" customHeight="1">
      <c r="A138" s="483" t="s">
        <v>705</v>
      </c>
      <c r="B138" s="483"/>
      <c r="C138" s="483"/>
      <c r="D138" s="483"/>
      <c r="E138" s="484">
        <v>0</v>
      </c>
      <c r="F138" s="484"/>
      <c r="G138" s="484">
        <v>0</v>
      </c>
      <c r="H138" s="484"/>
      <c r="I138" s="484"/>
      <c r="J138" s="484">
        <v>0</v>
      </c>
      <c r="K138" s="484"/>
      <c r="L138" s="484"/>
      <c r="M138" s="484"/>
      <c r="N138" s="284">
        <v>0</v>
      </c>
    </row>
    <row r="139" spans="1:14" ht="18" customHeight="1">
      <c r="A139" s="485" t="s">
        <v>706</v>
      </c>
      <c r="B139" s="485"/>
      <c r="C139" s="485"/>
      <c r="D139" s="485"/>
      <c r="E139" s="486">
        <v>0</v>
      </c>
      <c r="F139" s="486"/>
      <c r="G139" s="486">
        <v>0</v>
      </c>
      <c r="H139" s="486"/>
      <c r="I139" s="486"/>
      <c r="J139" s="486">
        <v>0</v>
      </c>
      <c r="K139" s="486"/>
      <c r="L139" s="486"/>
      <c r="M139" s="486"/>
      <c r="N139" s="286">
        <v>0</v>
      </c>
    </row>
    <row r="140" spans="1:14" ht="22.5" customHeight="1">
      <c r="A140" s="485" t="s">
        <v>707</v>
      </c>
      <c r="B140" s="485"/>
      <c r="C140" s="485"/>
      <c r="D140" s="485"/>
      <c r="E140" s="486">
        <v>0</v>
      </c>
      <c r="F140" s="486"/>
      <c r="G140" s="486">
        <v>0</v>
      </c>
      <c r="H140" s="486"/>
      <c r="I140" s="486"/>
      <c r="J140" s="486">
        <v>0</v>
      </c>
      <c r="K140" s="486"/>
      <c r="L140" s="486"/>
      <c r="M140" s="486"/>
      <c r="N140" s="286">
        <v>0</v>
      </c>
    </row>
    <row r="141" spans="1:14" ht="18" customHeight="1">
      <c r="A141" s="487" t="s">
        <v>708</v>
      </c>
      <c r="B141" s="487"/>
      <c r="C141" s="487"/>
      <c r="D141" s="487"/>
      <c r="E141" s="484">
        <v>0</v>
      </c>
      <c r="F141" s="484"/>
      <c r="G141" s="484">
        <v>0</v>
      </c>
      <c r="H141" s="484"/>
      <c r="I141" s="484"/>
      <c r="J141" s="484">
        <v>0</v>
      </c>
      <c r="K141" s="484"/>
      <c r="L141" s="484"/>
      <c r="M141" s="484"/>
      <c r="N141" s="284">
        <v>0</v>
      </c>
    </row>
    <row r="142" spans="1:14" ht="18" customHeight="1">
      <c r="A142" s="483" t="s">
        <v>709</v>
      </c>
      <c r="B142" s="483"/>
      <c r="C142" s="483"/>
      <c r="D142" s="483"/>
      <c r="E142" s="484">
        <v>0</v>
      </c>
      <c r="F142" s="484"/>
      <c r="G142" s="484">
        <v>0</v>
      </c>
      <c r="H142" s="484"/>
      <c r="I142" s="484"/>
      <c r="J142" s="484">
        <v>0</v>
      </c>
      <c r="K142" s="484"/>
      <c r="L142" s="484"/>
      <c r="M142" s="484"/>
      <c r="N142" s="284">
        <v>0</v>
      </c>
    </row>
    <row r="143" spans="1:14" ht="18" customHeight="1">
      <c r="A143" s="485" t="s">
        <v>710</v>
      </c>
      <c r="B143" s="485"/>
      <c r="C143" s="485"/>
      <c r="D143" s="485"/>
      <c r="E143" s="486">
        <v>0</v>
      </c>
      <c r="F143" s="486"/>
      <c r="G143" s="486">
        <v>0</v>
      </c>
      <c r="H143" s="486"/>
      <c r="I143" s="486"/>
      <c r="J143" s="486">
        <v>0</v>
      </c>
      <c r="K143" s="486"/>
      <c r="L143" s="486"/>
      <c r="M143" s="486"/>
      <c r="N143" s="286">
        <v>0</v>
      </c>
    </row>
    <row r="144" spans="1:14" ht="18" customHeight="1">
      <c r="A144" s="485" t="s">
        <v>449</v>
      </c>
      <c r="B144" s="485"/>
      <c r="C144" s="485"/>
      <c r="D144" s="485"/>
      <c r="E144" s="486">
        <v>0</v>
      </c>
      <c r="F144" s="486"/>
      <c r="G144" s="486">
        <v>0</v>
      </c>
      <c r="H144" s="486"/>
      <c r="I144" s="486"/>
      <c r="J144" s="486">
        <v>0</v>
      </c>
      <c r="K144" s="486"/>
      <c r="L144" s="486"/>
      <c r="M144" s="486"/>
      <c r="N144" s="286">
        <v>0</v>
      </c>
    </row>
    <row r="145" spans="1:14" ht="18" customHeight="1">
      <c r="A145" s="485" t="s">
        <v>711</v>
      </c>
      <c r="B145" s="485"/>
      <c r="C145" s="485"/>
      <c r="D145" s="485"/>
      <c r="E145" s="486">
        <v>0</v>
      </c>
      <c r="F145" s="486"/>
      <c r="G145" s="486">
        <v>0</v>
      </c>
      <c r="H145" s="486"/>
      <c r="I145" s="486"/>
      <c r="J145" s="486">
        <v>0</v>
      </c>
      <c r="K145" s="486"/>
      <c r="L145" s="486"/>
      <c r="M145" s="486"/>
      <c r="N145" s="286">
        <v>0</v>
      </c>
    </row>
    <row r="146" spans="1:14" ht="18" customHeight="1">
      <c r="A146" s="485" t="s">
        <v>712</v>
      </c>
      <c r="B146" s="485"/>
      <c r="C146" s="485"/>
      <c r="D146" s="485"/>
      <c r="E146" s="486">
        <v>0</v>
      </c>
      <c r="F146" s="486"/>
      <c r="G146" s="486">
        <v>0</v>
      </c>
      <c r="H146" s="486"/>
      <c r="I146" s="486"/>
      <c r="J146" s="486">
        <v>0</v>
      </c>
      <c r="K146" s="486"/>
      <c r="L146" s="486"/>
      <c r="M146" s="486"/>
      <c r="N146" s="286">
        <v>0</v>
      </c>
    </row>
    <row r="147" spans="1:14" ht="18" customHeight="1">
      <c r="A147" s="485" t="s">
        <v>713</v>
      </c>
      <c r="B147" s="485"/>
      <c r="C147" s="485"/>
      <c r="D147" s="485"/>
      <c r="E147" s="486">
        <v>0</v>
      </c>
      <c r="F147" s="486"/>
      <c r="G147" s="486">
        <v>0</v>
      </c>
      <c r="H147" s="486"/>
      <c r="I147" s="486"/>
      <c r="J147" s="486">
        <v>0</v>
      </c>
      <c r="K147" s="486"/>
      <c r="L147" s="486"/>
      <c r="M147" s="486"/>
      <c r="N147" s="286">
        <v>0</v>
      </c>
    </row>
    <row r="148" spans="1:14" ht="18" customHeight="1">
      <c r="A148" s="485" t="s">
        <v>448</v>
      </c>
      <c r="B148" s="485"/>
      <c r="C148" s="485"/>
      <c r="D148" s="485"/>
      <c r="E148" s="486">
        <v>0</v>
      </c>
      <c r="F148" s="486"/>
      <c r="G148" s="486">
        <v>0</v>
      </c>
      <c r="H148" s="486"/>
      <c r="I148" s="486"/>
      <c r="J148" s="486">
        <v>0</v>
      </c>
      <c r="K148" s="486"/>
      <c r="L148" s="486"/>
      <c r="M148" s="486"/>
      <c r="N148" s="286">
        <v>0</v>
      </c>
    </row>
    <row r="149" spans="1:14" ht="18" customHeight="1">
      <c r="A149" s="485" t="s">
        <v>447</v>
      </c>
      <c r="B149" s="485"/>
      <c r="C149" s="485"/>
      <c r="D149" s="485"/>
      <c r="E149" s="486">
        <v>0</v>
      </c>
      <c r="F149" s="486"/>
      <c r="G149" s="486">
        <v>0</v>
      </c>
      <c r="H149" s="486"/>
      <c r="I149" s="486"/>
      <c r="J149" s="486">
        <v>0</v>
      </c>
      <c r="K149" s="486"/>
      <c r="L149" s="486"/>
      <c r="M149" s="486"/>
      <c r="N149" s="286">
        <v>0</v>
      </c>
    </row>
    <row r="150" spans="1:14" ht="18" customHeight="1">
      <c r="A150" s="485" t="s">
        <v>714</v>
      </c>
      <c r="B150" s="485"/>
      <c r="C150" s="485"/>
      <c r="D150" s="485"/>
      <c r="E150" s="486">
        <v>0</v>
      </c>
      <c r="F150" s="486"/>
      <c r="G150" s="486">
        <v>0</v>
      </c>
      <c r="H150" s="486"/>
      <c r="I150" s="486"/>
      <c r="J150" s="486">
        <v>0</v>
      </c>
      <c r="K150" s="486"/>
      <c r="L150" s="486"/>
      <c r="M150" s="486"/>
      <c r="N150" s="286">
        <v>0</v>
      </c>
    </row>
    <row r="151" spans="1:14" ht="18" customHeight="1">
      <c r="A151" s="485" t="s">
        <v>715</v>
      </c>
      <c r="B151" s="485"/>
      <c r="C151" s="485"/>
      <c r="D151" s="485"/>
      <c r="E151" s="486">
        <v>0</v>
      </c>
      <c r="F151" s="486"/>
      <c r="G151" s="486">
        <v>0</v>
      </c>
      <c r="H151" s="486"/>
      <c r="I151" s="486"/>
      <c r="J151" s="486">
        <v>0</v>
      </c>
      <c r="K151" s="486"/>
      <c r="L151" s="486"/>
      <c r="M151" s="486"/>
      <c r="N151" s="286">
        <v>0</v>
      </c>
    </row>
    <row r="152" spans="1:14" ht="18" customHeight="1">
      <c r="A152" s="483" t="s">
        <v>716</v>
      </c>
      <c r="B152" s="483"/>
      <c r="C152" s="483"/>
      <c r="D152" s="483"/>
      <c r="E152" s="484">
        <v>0</v>
      </c>
      <c r="F152" s="484"/>
      <c r="G152" s="484">
        <v>0</v>
      </c>
      <c r="H152" s="484"/>
      <c r="I152" s="484"/>
      <c r="J152" s="484">
        <v>0</v>
      </c>
      <c r="K152" s="484"/>
      <c r="L152" s="484"/>
      <c r="M152" s="484"/>
      <c r="N152" s="284">
        <v>0</v>
      </c>
    </row>
    <row r="153" spans="1:14" ht="18" customHeight="1">
      <c r="A153" s="485" t="s">
        <v>717</v>
      </c>
      <c r="B153" s="485"/>
      <c r="C153" s="485"/>
      <c r="D153" s="485"/>
      <c r="E153" s="486">
        <v>0</v>
      </c>
      <c r="F153" s="486"/>
      <c r="G153" s="486">
        <v>0</v>
      </c>
      <c r="H153" s="486"/>
      <c r="I153" s="486"/>
      <c r="J153" s="486">
        <v>0</v>
      </c>
      <c r="K153" s="486"/>
      <c r="L153" s="486"/>
      <c r="M153" s="486"/>
      <c r="N153" s="286">
        <v>0</v>
      </c>
    </row>
    <row r="154" spans="1:14" ht="18" customHeight="1">
      <c r="A154" s="485" t="s">
        <v>718</v>
      </c>
      <c r="B154" s="485"/>
      <c r="C154" s="485"/>
      <c r="D154" s="485"/>
      <c r="E154" s="486">
        <v>0</v>
      </c>
      <c r="F154" s="486"/>
      <c r="G154" s="486">
        <v>0</v>
      </c>
      <c r="H154" s="486"/>
      <c r="I154" s="486"/>
      <c r="J154" s="486">
        <v>0</v>
      </c>
      <c r="K154" s="486"/>
      <c r="L154" s="486"/>
      <c r="M154" s="486"/>
      <c r="N154" s="286">
        <v>0</v>
      </c>
    </row>
    <row r="155" spans="1:14" ht="18" customHeight="1">
      <c r="A155" s="485" t="s">
        <v>719</v>
      </c>
      <c r="B155" s="485"/>
      <c r="C155" s="485"/>
      <c r="D155" s="485"/>
      <c r="E155" s="486">
        <v>0</v>
      </c>
      <c r="F155" s="486"/>
      <c r="G155" s="486">
        <v>0</v>
      </c>
      <c r="H155" s="486"/>
      <c r="I155" s="486"/>
      <c r="J155" s="486">
        <v>0</v>
      </c>
      <c r="K155" s="486"/>
      <c r="L155" s="486"/>
      <c r="M155" s="486"/>
      <c r="N155" s="286">
        <v>0</v>
      </c>
    </row>
    <row r="156" spans="1:14" ht="18" customHeight="1">
      <c r="A156" s="483" t="s">
        <v>720</v>
      </c>
      <c r="B156" s="483"/>
      <c r="C156" s="483"/>
      <c r="D156" s="483"/>
      <c r="E156" s="484">
        <v>0</v>
      </c>
      <c r="F156" s="484"/>
      <c r="G156" s="484">
        <v>0</v>
      </c>
      <c r="H156" s="484"/>
      <c r="I156" s="484"/>
      <c r="J156" s="484">
        <v>0</v>
      </c>
      <c r="K156" s="484"/>
      <c r="L156" s="484"/>
      <c r="M156" s="484"/>
      <c r="N156" s="284">
        <v>0</v>
      </c>
    </row>
    <row r="157" spans="1:14" ht="18" customHeight="1">
      <c r="A157" s="485" t="s">
        <v>721</v>
      </c>
      <c r="B157" s="485"/>
      <c r="C157" s="485"/>
      <c r="D157" s="485"/>
      <c r="E157" s="486">
        <v>0</v>
      </c>
      <c r="F157" s="486"/>
      <c r="G157" s="486">
        <v>0</v>
      </c>
      <c r="H157" s="486"/>
      <c r="I157" s="486"/>
      <c r="J157" s="486">
        <v>0</v>
      </c>
      <c r="K157" s="486"/>
      <c r="L157" s="486"/>
      <c r="M157" s="486"/>
      <c r="N157" s="286">
        <v>0</v>
      </c>
    </row>
    <row r="158" spans="1:14" ht="18" customHeight="1">
      <c r="A158" s="485" t="s">
        <v>722</v>
      </c>
      <c r="B158" s="485"/>
      <c r="C158" s="485"/>
      <c r="D158" s="485"/>
      <c r="E158" s="486">
        <v>0</v>
      </c>
      <c r="F158" s="486"/>
      <c r="G158" s="486">
        <v>0</v>
      </c>
      <c r="H158" s="486"/>
      <c r="I158" s="486"/>
      <c r="J158" s="486">
        <v>0</v>
      </c>
      <c r="K158" s="486"/>
      <c r="L158" s="486"/>
      <c r="M158" s="486"/>
      <c r="N158" s="286">
        <v>0</v>
      </c>
    </row>
    <row r="159" spans="1:14" ht="18" customHeight="1">
      <c r="A159" s="487" t="s">
        <v>723</v>
      </c>
      <c r="B159" s="487"/>
      <c r="C159" s="487"/>
      <c r="D159" s="487"/>
      <c r="E159" s="484">
        <v>0</v>
      </c>
      <c r="F159" s="484"/>
      <c r="G159" s="484">
        <v>0</v>
      </c>
      <c r="H159" s="484"/>
      <c r="I159" s="484"/>
      <c r="J159" s="484">
        <v>0</v>
      </c>
      <c r="K159" s="484"/>
      <c r="L159" s="484"/>
      <c r="M159" s="484"/>
      <c r="N159" s="284">
        <v>0</v>
      </c>
    </row>
    <row r="160" spans="1:14" ht="21.75" customHeight="1">
      <c r="A160" s="488" t="s">
        <v>724</v>
      </c>
      <c r="B160" s="488"/>
      <c r="C160" s="488"/>
      <c r="D160" s="488"/>
      <c r="E160" s="486">
        <v>0</v>
      </c>
      <c r="F160" s="486"/>
      <c r="G160" s="486">
        <v>0</v>
      </c>
      <c r="H160" s="486"/>
      <c r="I160" s="486"/>
      <c r="J160" s="486">
        <v>0</v>
      </c>
      <c r="K160" s="486"/>
      <c r="L160" s="486"/>
      <c r="M160" s="486"/>
      <c r="N160" s="286">
        <v>0</v>
      </c>
    </row>
    <row r="161" spans="1:14" ht="19.5" customHeight="1">
      <c r="A161" s="483" t="s">
        <v>725</v>
      </c>
      <c r="B161" s="483"/>
      <c r="C161" s="483"/>
      <c r="D161" s="483"/>
      <c r="E161" s="484">
        <v>0</v>
      </c>
      <c r="F161" s="484"/>
      <c r="G161" s="484">
        <v>0</v>
      </c>
      <c r="H161" s="484"/>
      <c r="I161" s="484"/>
      <c r="J161" s="484">
        <v>0</v>
      </c>
      <c r="K161" s="484"/>
      <c r="L161" s="484"/>
      <c r="M161" s="484"/>
      <c r="N161" s="284">
        <v>0</v>
      </c>
    </row>
    <row r="162" spans="1:14" ht="18" customHeight="1">
      <c r="A162" s="485" t="s">
        <v>726</v>
      </c>
      <c r="B162" s="485"/>
      <c r="C162" s="485"/>
      <c r="D162" s="485"/>
      <c r="E162" s="486">
        <v>0</v>
      </c>
      <c r="F162" s="486"/>
      <c r="G162" s="486">
        <v>0</v>
      </c>
      <c r="H162" s="486"/>
      <c r="I162" s="486"/>
      <c r="J162" s="486">
        <v>0</v>
      </c>
      <c r="K162" s="486"/>
      <c r="L162" s="486"/>
      <c r="M162" s="486"/>
      <c r="N162" s="286">
        <v>0</v>
      </c>
    </row>
    <row r="163" spans="1:14" ht="22.5" customHeight="1">
      <c r="A163" s="485" t="s">
        <v>707</v>
      </c>
      <c r="B163" s="485"/>
      <c r="C163" s="485"/>
      <c r="D163" s="485"/>
      <c r="E163" s="486">
        <v>0</v>
      </c>
      <c r="F163" s="486"/>
      <c r="G163" s="486">
        <v>0</v>
      </c>
      <c r="H163" s="486"/>
      <c r="I163" s="486"/>
      <c r="J163" s="486">
        <v>0</v>
      </c>
      <c r="K163" s="486"/>
      <c r="L163" s="486"/>
      <c r="M163" s="486"/>
      <c r="N163" s="286">
        <v>0</v>
      </c>
    </row>
    <row r="164" spans="1:14" ht="18" customHeight="1">
      <c r="A164" s="487" t="s">
        <v>727</v>
      </c>
      <c r="B164" s="487"/>
      <c r="C164" s="487"/>
      <c r="D164" s="487"/>
      <c r="E164" s="484">
        <v>0</v>
      </c>
      <c r="F164" s="484"/>
      <c r="G164" s="484">
        <v>0</v>
      </c>
      <c r="H164" s="484"/>
      <c r="I164" s="484"/>
      <c r="J164" s="484">
        <v>0</v>
      </c>
      <c r="K164" s="484"/>
      <c r="L164" s="484"/>
      <c r="M164" s="484"/>
      <c r="N164" s="284">
        <v>0</v>
      </c>
    </row>
    <row r="165" spans="1:14" ht="18" customHeight="1">
      <c r="A165" s="483" t="s">
        <v>728</v>
      </c>
      <c r="B165" s="483"/>
      <c r="C165" s="483"/>
      <c r="D165" s="483"/>
      <c r="E165" s="484">
        <v>0</v>
      </c>
      <c r="F165" s="484"/>
      <c r="G165" s="484">
        <v>0</v>
      </c>
      <c r="H165" s="484"/>
      <c r="I165" s="484"/>
      <c r="J165" s="484">
        <v>0</v>
      </c>
      <c r="K165" s="484"/>
      <c r="L165" s="484"/>
      <c r="M165" s="484"/>
      <c r="N165" s="284">
        <v>0</v>
      </c>
    </row>
    <row r="166" spans="1:14" ht="18" customHeight="1">
      <c r="A166" s="485" t="s">
        <v>729</v>
      </c>
      <c r="B166" s="485"/>
      <c r="C166" s="485"/>
      <c r="D166" s="485"/>
      <c r="E166" s="486">
        <v>0</v>
      </c>
      <c r="F166" s="486"/>
      <c r="G166" s="486">
        <v>0</v>
      </c>
      <c r="H166" s="486"/>
      <c r="I166" s="486"/>
      <c r="J166" s="486">
        <v>0</v>
      </c>
      <c r="K166" s="486"/>
      <c r="L166" s="486"/>
      <c r="M166" s="486"/>
      <c r="N166" s="286">
        <v>0</v>
      </c>
    </row>
    <row r="167" spans="1:14" ht="18" customHeight="1">
      <c r="A167" s="487" t="s">
        <v>537</v>
      </c>
      <c r="B167" s="487"/>
      <c r="C167" s="487"/>
      <c r="D167" s="487"/>
      <c r="E167" s="484">
        <v>386000</v>
      </c>
      <c r="F167" s="484"/>
      <c r="G167" s="484">
        <v>0</v>
      </c>
      <c r="H167" s="484"/>
      <c r="I167" s="484"/>
      <c r="J167" s="484">
        <v>0</v>
      </c>
      <c r="K167" s="484"/>
      <c r="L167" s="484"/>
      <c r="M167" s="484"/>
      <c r="N167" s="284">
        <v>386000</v>
      </c>
    </row>
    <row r="168" spans="1:14" ht="18" customHeight="1">
      <c r="A168" s="483" t="s">
        <v>536</v>
      </c>
      <c r="B168" s="483"/>
      <c r="C168" s="483"/>
      <c r="D168" s="483"/>
      <c r="E168" s="484">
        <v>386000</v>
      </c>
      <c r="F168" s="484"/>
      <c r="G168" s="484">
        <v>0</v>
      </c>
      <c r="H168" s="484"/>
      <c r="I168" s="484"/>
      <c r="J168" s="484">
        <v>0</v>
      </c>
      <c r="K168" s="484"/>
      <c r="L168" s="484"/>
      <c r="M168" s="484"/>
      <c r="N168" s="284">
        <v>386000</v>
      </c>
    </row>
    <row r="169" spans="1:14" ht="22.5" customHeight="1">
      <c r="A169" s="485" t="s">
        <v>535</v>
      </c>
      <c r="B169" s="485"/>
      <c r="C169" s="485"/>
      <c r="D169" s="485"/>
      <c r="E169" s="486">
        <v>386000</v>
      </c>
      <c r="F169" s="486"/>
      <c r="G169" s="486">
        <v>0</v>
      </c>
      <c r="H169" s="486"/>
      <c r="I169" s="486"/>
      <c r="J169" s="486">
        <v>0</v>
      </c>
      <c r="K169" s="486"/>
      <c r="L169" s="486"/>
      <c r="M169" s="486"/>
      <c r="N169" s="286">
        <v>386000</v>
      </c>
    </row>
    <row r="170" spans="1:14" ht="54" customHeight="1">
      <c r="A170" s="481" t="s">
        <v>730</v>
      </c>
      <c r="B170" s="481"/>
      <c r="C170" s="481"/>
      <c r="D170" s="482">
        <v>3997383.92</v>
      </c>
      <c r="E170" s="482"/>
      <c r="F170" s="482">
        <v>3907928.82</v>
      </c>
      <c r="G170" s="482"/>
      <c r="H170" s="482">
        <v>3907928.82</v>
      </c>
      <c r="I170" s="482"/>
      <c r="J170" s="482"/>
      <c r="K170" s="482"/>
      <c r="L170" s="482"/>
      <c r="M170" s="482">
        <v>89455.1</v>
      </c>
      <c r="N170" s="482"/>
    </row>
    <row r="171" spans="1:14" ht="0.75" customHeight="1"/>
    <row r="172" spans="1:14" ht="11.25" customHeight="1">
      <c r="A172" s="285" t="s">
        <v>731</v>
      </c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480" t="s">
        <v>604</v>
      </c>
      <c r="N172" s="480"/>
    </row>
    <row r="173" spans="1:14" ht="1.5" customHeight="1">
      <c r="C173" s="479" t="s">
        <v>616</v>
      </c>
      <c r="D173" s="479"/>
      <c r="E173" s="479"/>
      <c r="F173" s="479"/>
      <c r="G173" s="479"/>
      <c r="H173" s="479"/>
      <c r="I173" s="479"/>
      <c r="J173" s="479"/>
      <c r="M173" s="480"/>
      <c r="N173" s="480"/>
    </row>
    <row r="174" spans="1:14" ht="11.25" customHeight="1">
      <c r="C174" s="479"/>
      <c r="D174" s="479"/>
      <c r="E174" s="479"/>
      <c r="F174" s="479"/>
      <c r="G174" s="479"/>
      <c r="H174" s="479"/>
      <c r="I174" s="479"/>
      <c r="J174" s="479"/>
    </row>
    <row r="175" spans="1:14" ht="1.5" customHeight="1"/>
    <row r="176" spans="1:14" ht="12.75" customHeight="1">
      <c r="C176" s="479" t="s">
        <v>616</v>
      </c>
      <c r="D176" s="479"/>
      <c r="E176" s="479"/>
      <c r="F176" s="479"/>
      <c r="G176" s="479"/>
      <c r="H176" s="479"/>
      <c r="I176" s="479"/>
      <c r="J176" s="479"/>
      <c r="K176" s="479"/>
      <c r="M176" s="480" t="s">
        <v>604</v>
      </c>
      <c r="N176" s="480"/>
    </row>
    <row r="177" spans="3:11" ht="0.75" customHeight="1">
      <c r="C177" s="479"/>
      <c r="D177" s="479"/>
      <c r="E177" s="479"/>
      <c r="F177" s="479"/>
      <c r="G177" s="479"/>
      <c r="H177" s="479"/>
      <c r="I177" s="479"/>
      <c r="J177" s="479"/>
      <c r="K177" s="479"/>
    </row>
  </sheetData>
  <mergeCells count="644">
    <mergeCell ref="A10:C10"/>
    <mergeCell ref="D10:E10"/>
    <mergeCell ref="F10:G10"/>
    <mergeCell ref="H10:L10"/>
    <mergeCell ref="M10:N10"/>
    <mergeCell ref="A11:C12"/>
    <mergeCell ref="I11:N11"/>
    <mergeCell ref="A2:H2"/>
    <mergeCell ref="A3:H3"/>
    <mergeCell ref="A4:C5"/>
    <mergeCell ref="A6:N6"/>
    <mergeCell ref="I7:N7"/>
    <mergeCell ref="A8:N8"/>
    <mergeCell ref="A16:D16"/>
    <mergeCell ref="E16:F16"/>
    <mergeCell ref="G16:I16"/>
    <mergeCell ref="J16:M16"/>
    <mergeCell ref="A17:D17"/>
    <mergeCell ref="E17:F17"/>
    <mergeCell ref="G17:I17"/>
    <mergeCell ref="J17:M17"/>
    <mergeCell ref="A14:N14"/>
    <mergeCell ref="A15:C15"/>
    <mergeCell ref="D15:E15"/>
    <mergeCell ref="F15:G15"/>
    <mergeCell ref="H15:L15"/>
    <mergeCell ref="M15:N15"/>
    <mergeCell ref="A20:D20"/>
    <mergeCell ref="E20:F20"/>
    <mergeCell ref="G20:I20"/>
    <mergeCell ref="J20:M20"/>
    <mergeCell ref="A21:D21"/>
    <mergeCell ref="E21:F21"/>
    <mergeCell ref="G21:I21"/>
    <mergeCell ref="J21:M21"/>
    <mergeCell ref="A18:D18"/>
    <mergeCell ref="E18:F18"/>
    <mergeCell ref="G18:I18"/>
    <mergeCell ref="J18:M18"/>
    <mergeCell ref="A19:D19"/>
    <mergeCell ref="E19:F19"/>
    <mergeCell ref="G19:I19"/>
    <mergeCell ref="J19:M19"/>
    <mergeCell ref="A24:D24"/>
    <mergeCell ref="E24:F24"/>
    <mergeCell ref="G24:I24"/>
    <mergeCell ref="J24:M24"/>
    <mergeCell ref="A25:D25"/>
    <mergeCell ref="E25:F25"/>
    <mergeCell ref="G25:I25"/>
    <mergeCell ref="J25:M25"/>
    <mergeCell ref="A22:D22"/>
    <mergeCell ref="E22:F22"/>
    <mergeCell ref="G22:I22"/>
    <mergeCell ref="J22:M22"/>
    <mergeCell ref="A23:D23"/>
    <mergeCell ref="E23:F23"/>
    <mergeCell ref="G23:I23"/>
    <mergeCell ref="J23:M23"/>
    <mergeCell ref="A28:D28"/>
    <mergeCell ref="E28:F28"/>
    <mergeCell ref="G28:I28"/>
    <mergeCell ref="J28:M28"/>
    <mergeCell ref="A29:D29"/>
    <mergeCell ref="E29:F29"/>
    <mergeCell ref="G29:I29"/>
    <mergeCell ref="J29:M29"/>
    <mergeCell ref="A26:D26"/>
    <mergeCell ref="E26:F26"/>
    <mergeCell ref="G26:I26"/>
    <mergeCell ref="J26:M26"/>
    <mergeCell ref="A27:D27"/>
    <mergeCell ref="E27:F27"/>
    <mergeCell ref="G27:I27"/>
    <mergeCell ref="J27:M27"/>
    <mergeCell ref="A32:D32"/>
    <mergeCell ref="E32:F32"/>
    <mergeCell ref="G32:I32"/>
    <mergeCell ref="J32:M32"/>
    <mergeCell ref="A33:D33"/>
    <mergeCell ref="E33:F33"/>
    <mergeCell ref="G33:I33"/>
    <mergeCell ref="J33:M33"/>
    <mergeCell ref="A30:D30"/>
    <mergeCell ref="E30:F30"/>
    <mergeCell ref="G30:I30"/>
    <mergeCell ref="J30:M30"/>
    <mergeCell ref="A31:D31"/>
    <mergeCell ref="E31:F31"/>
    <mergeCell ref="G31:I31"/>
    <mergeCell ref="J31:M31"/>
    <mergeCell ref="A36:D36"/>
    <mergeCell ref="E36:F36"/>
    <mergeCell ref="G36:I36"/>
    <mergeCell ref="J36:M36"/>
    <mergeCell ref="A37:D37"/>
    <mergeCell ref="E37:F37"/>
    <mergeCell ref="G37:I37"/>
    <mergeCell ref="J37:M37"/>
    <mergeCell ref="A34:D34"/>
    <mergeCell ref="E34:F34"/>
    <mergeCell ref="G34:I34"/>
    <mergeCell ref="J34:M34"/>
    <mergeCell ref="A35:D35"/>
    <mergeCell ref="E35:F35"/>
    <mergeCell ref="G35:I35"/>
    <mergeCell ref="J35:M35"/>
    <mergeCell ref="A40:D40"/>
    <mergeCell ref="E40:F40"/>
    <mergeCell ref="G40:I40"/>
    <mergeCell ref="J40:M40"/>
    <mergeCell ref="A41:D41"/>
    <mergeCell ref="E41:F41"/>
    <mergeCell ref="G41:I41"/>
    <mergeCell ref="J41:M41"/>
    <mergeCell ref="A38:D38"/>
    <mergeCell ref="E38:F38"/>
    <mergeCell ref="G38:I38"/>
    <mergeCell ref="J38:M38"/>
    <mergeCell ref="A39:D39"/>
    <mergeCell ref="E39:F39"/>
    <mergeCell ref="G39:I39"/>
    <mergeCell ref="J39:M39"/>
    <mergeCell ref="A44:D44"/>
    <mergeCell ref="E44:F44"/>
    <mergeCell ref="G44:I44"/>
    <mergeCell ref="J44:M44"/>
    <mergeCell ref="A45:D45"/>
    <mergeCell ref="E45:F45"/>
    <mergeCell ref="G45:I45"/>
    <mergeCell ref="J45:M45"/>
    <mergeCell ref="A42:D42"/>
    <mergeCell ref="E42:F42"/>
    <mergeCell ref="G42:I42"/>
    <mergeCell ref="J42:M42"/>
    <mergeCell ref="A43:D43"/>
    <mergeCell ref="E43:F43"/>
    <mergeCell ref="G43:I43"/>
    <mergeCell ref="J43:M43"/>
    <mergeCell ref="A48:D48"/>
    <mergeCell ref="E48:F48"/>
    <mergeCell ref="G48:I48"/>
    <mergeCell ref="J48:M48"/>
    <mergeCell ref="A49:D49"/>
    <mergeCell ref="E49:F49"/>
    <mergeCell ref="G49:I49"/>
    <mergeCell ref="J49:M49"/>
    <mergeCell ref="A46:D46"/>
    <mergeCell ref="E46:F46"/>
    <mergeCell ref="G46:I46"/>
    <mergeCell ref="J46:M46"/>
    <mergeCell ref="A47:D47"/>
    <mergeCell ref="E47:F47"/>
    <mergeCell ref="G47:I47"/>
    <mergeCell ref="J47:M47"/>
    <mergeCell ref="A52:D52"/>
    <mergeCell ref="E52:F52"/>
    <mergeCell ref="G52:I52"/>
    <mergeCell ref="J52:M52"/>
    <mergeCell ref="A53:D53"/>
    <mergeCell ref="E53:F53"/>
    <mergeCell ref="G53:I53"/>
    <mergeCell ref="J53:M53"/>
    <mergeCell ref="A50:D50"/>
    <mergeCell ref="E50:F50"/>
    <mergeCell ref="G50:I50"/>
    <mergeCell ref="J50:M50"/>
    <mergeCell ref="A51:D51"/>
    <mergeCell ref="E51:F51"/>
    <mergeCell ref="G51:I51"/>
    <mergeCell ref="J51:M51"/>
    <mergeCell ref="A56:D56"/>
    <mergeCell ref="E56:F56"/>
    <mergeCell ref="G56:I56"/>
    <mergeCell ref="J56:M56"/>
    <mergeCell ref="A57:D57"/>
    <mergeCell ref="E57:F57"/>
    <mergeCell ref="G57:I57"/>
    <mergeCell ref="J57:M57"/>
    <mergeCell ref="A54:D54"/>
    <mergeCell ref="E54:F54"/>
    <mergeCell ref="G54:I54"/>
    <mergeCell ref="J54:M54"/>
    <mergeCell ref="A55:D55"/>
    <mergeCell ref="E55:F55"/>
    <mergeCell ref="G55:I55"/>
    <mergeCell ref="J55:M55"/>
    <mergeCell ref="A60:D60"/>
    <mergeCell ref="E60:F60"/>
    <mergeCell ref="G60:I60"/>
    <mergeCell ref="J60:M60"/>
    <mergeCell ref="A61:D61"/>
    <mergeCell ref="E61:F61"/>
    <mergeCell ref="G61:I61"/>
    <mergeCell ref="J61:M61"/>
    <mergeCell ref="A58:D58"/>
    <mergeCell ref="E58:F58"/>
    <mergeCell ref="G58:I58"/>
    <mergeCell ref="J58:M58"/>
    <mergeCell ref="A59:D59"/>
    <mergeCell ref="E59:F59"/>
    <mergeCell ref="G59:I59"/>
    <mergeCell ref="J59:M59"/>
    <mergeCell ref="A64:D64"/>
    <mergeCell ref="E64:F64"/>
    <mergeCell ref="G64:I64"/>
    <mergeCell ref="J64:M64"/>
    <mergeCell ref="A65:D65"/>
    <mergeCell ref="E65:F65"/>
    <mergeCell ref="G65:I65"/>
    <mergeCell ref="J65:M65"/>
    <mergeCell ref="A62:D62"/>
    <mergeCell ref="E62:F62"/>
    <mergeCell ref="G62:I62"/>
    <mergeCell ref="J62:M62"/>
    <mergeCell ref="A63:D63"/>
    <mergeCell ref="E63:F63"/>
    <mergeCell ref="G63:I63"/>
    <mergeCell ref="J63:M63"/>
    <mergeCell ref="A68:D68"/>
    <mergeCell ref="E68:F68"/>
    <mergeCell ref="G68:I68"/>
    <mergeCell ref="J68:M68"/>
    <mergeCell ref="A69:D69"/>
    <mergeCell ref="E69:F69"/>
    <mergeCell ref="G69:I69"/>
    <mergeCell ref="J69:M69"/>
    <mergeCell ref="A66:D66"/>
    <mergeCell ref="E66:F66"/>
    <mergeCell ref="G66:I66"/>
    <mergeCell ref="J66:M66"/>
    <mergeCell ref="A67:D67"/>
    <mergeCell ref="E67:F67"/>
    <mergeCell ref="G67:I67"/>
    <mergeCell ref="J67:M67"/>
    <mergeCell ref="A72:D72"/>
    <mergeCell ref="E72:F72"/>
    <mergeCell ref="G72:I72"/>
    <mergeCell ref="J72:M72"/>
    <mergeCell ref="A73:D73"/>
    <mergeCell ref="E73:F73"/>
    <mergeCell ref="G73:I73"/>
    <mergeCell ref="J73:M73"/>
    <mergeCell ref="A70:D70"/>
    <mergeCell ref="E70:F70"/>
    <mergeCell ref="G70:I70"/>
    <mergeCell ref="J70:M70"/>
    <mergeCell ref="A71:D71"/>
    <mergeCell ref="E71:F71"/>
    <mergeCell ref="G71:I71"/>
    <mergeCell ref="J71:M71"/>
    <mergeCell ref="A76:D76"/>
    <mergeCell ref="E76:F76"/>
    <mergeCell ref="G76:I76"/>
    <mergeCell ref="J76:M76"/>
    <mergeCell ref="A77:D77"/>
    <mergeCell ref="E77:F77"/>
    <mergeCell ref="G77:I77"/>
    <mergeCell ref="J77:M77"/>
    <mergeCell ref="A74:D74"/>
    <mergeCell ref="E74:F74"/>
    <mergeCell ref="G74:I74"/>
    <mergeCell ref="J74:M74"/>
    <mergeCell ref="A75:D75"/>
    <mergeCell ref="E75:F75"/>
    <mergeCell ref="G75:I75"/>
    <mergeCell ref="J75:M75"/>
    <mergeCell ref="A80:D80"/>
    <mergeCell ref="E80:F80"/>
    <mergeCell ref="G80:I80"/>
    <mergeCell ref="J80:M80"/>
    <mergeCell ref="A81:D81"/>
    <mergeCell ref="E81:F81"/>
    <mergeCell ref="G81:I81"/>
    <mergeCell ref="J81:M81"/>
    <mergeCell ref="A78:D78"/>
    <mergeCell ref="E78:F78"/>
    <mergeCell ref="G78:I78"/>
    <mergeCell ref="J78:M78"/>
    <mergeCell ref="A79:D79"/>
    <mergeCell ref="E79:F79"/>
    <mergeCell ref="G79:I79"/>
    <mergeCell ref="J79:M79"/>
    <mergeCell ref="A84:D84"/>
    <mergeCell ref="E84:F84"/>
    <mergeCell ref="G84:I84"/>
    <mergeCell ref="J84:M84"/>
    <mergeCell ref="A85:D85"/>
    <mergeCell ref="E85:F85"/>
    <mergeCell ref="G85:I85"/>
    <mergeCell ref="J85:M85"/>
    <mergeCell ref="A82:D82"/>
    <mergeCell ref="E82:F82"/>
    <mergeCell ref="G82:I82"/>
    <mergeCell ref="J82:M82"/>
    <mergeCell ref="A83:D83"/>
    <mergeCell ref="E83:F83"/>
    <mergeCell ref="G83:I83"/>
    <mergeCell ref="J83:M83"/>
    <mergeCell ref="A88:D88"/>
    <mergeCell ref="E88:F88"/>
    <mergeCell ref="G88:I88"/>
    <mergeCell ref="J88:M88"/>
    <mergeCell ref="A89:D89"/>
    <mergeCell ref="E89:F89"/>
    <mergeCell ref="G89:I89"/>
    <mergeCell ref="J89:M89"/>
    <mergeCell ref="A86:D86"/>
    <mergeCell ref="E86:F86"/>
    <mergeCell ref="G86:I86"/>
    <mergeCell ref="J86:M86"/>
    <mergeCell ref="A87:D87"/>
    <mergeCell ref="E87:F87"/>
    <mergeCell ref="G87:I87"/>
    <mergeCell ref="J87:M87"/>
    <mergeCell ref="A92:D92"/>
    <mergeCell ref="E92:F92"/>
    <mergeCell ref="G92:I92"/>
    <mergeCell ref="J92:M92"/>
    <mergeCell ref="A93:D93"/>
    <mergeCell ref="E93:F93"/>
    <mergeCell ref="G93:I93"/>
    <mergeCell ref="J93:M93"/>
    <mergeCell ref="A90:D90"/>
    <mergeCell ref="E90:F90"/>
    <mergeCell ref="G90:I90"/>
    <mergeCell ref="J90:M90"/>
    <mergeCell ref="A91:D91"/>
    <mergeCell ref="E91:F91"/>
    <mergeCell ref="G91:I91"/>
    <mergeCell ref="J91:M91"/>
    <mergeCell ref="A96:D96"/>
    <mergeCell ref="E96:F96"/>
    <mergeCell ref="G96:I96"/>
    <mergeCell ref="J96:M96"/>
    <mergeCell ref="A97:D97"/>
    <mergeCell ref="E97:F97"/>
    <mergeCell ref="G97:I97"/>
    <mergeCell ref="J97:M97"/>
    <mergeCell ref="A94:D94"/>
    <mergeCell ref="E94:F94"/>
    <mergeCell ref="G94:I94"/>
    <mergeCell ref="J94:M94"/>
    <mergeCell ref="A95:D95"/>
    <mergeCell ref="E95:F95"/>
    <mergeCell ref="G95:I95"/>
    <mergeCell ref="J95:M95"/>
    <mergeCell ref="A100:D100"/>
    <mergeCell ref="E100:F100"/>
    <mergeCell ref="G100:I100"/>
    <mergeCell ref="J100:M100"/>
    <mergeCell ref="A101:D101"/>
    <mergeCell ref="E101:F101"/>
    <mergeCell ref="G101:I101"/>
    <mergeCell ref="J101:M101"/>
    <mergeCell ref="A98:D98"/>
    <mergeCell ref="E98:F98"/>
    <mergeCell ref="G98:I98"/>
    <mergeCell ref="J98:M98"/>
    <mergeCell ref="A99:D99"/>
    <mergeCell ref="E99:F99"/>
    <mergeCell ref="G99:I99"/>
    <mergeCell ref="J99:M99"/>
    <mergeCell ref="A104:D104"/>
    <mergeCell ref="E104:F104"/>
    <mergeCell ref="G104:I104"/>
    <mergeCell ref="J104:M104"/>
    <mergeCell ref="A105:D105"/>
    <mergeCell ref="E105:F105"/>
    <mergeCell ref="G105:I105"/>
    <mergeCell ref="J105:M105"/>
    <mergeCell ref="A102:D102"/>
    <mergeCell ref="E102:F102"/>
    <mergeCell ref="G102:I102"/>
    <mergeCell ref="J102:M102"/>
    <mergeCell ref="A103:D103"/>
    <mergeCell ref="E103:F103"/>
    <mergeCell ref="G103:I103"/>
    <mergeCell ref="J103:M103"/>
    <mergeCell ref="A108:D108"/>
    <mergeCell ref="E108:F108"/>
    <mergeCell ref="G108:I108"/>
    <mergeCell ref="J108:M108"/>
    <mergeCell ref="A109:D109"/>
    <mergeCell ref="E109:F109"/>
    <mergeCell ref="G109:I109"/>
    <mergeCell ref="J109:M109"/>
    <mergeCell ref="A106:D106"/>
    <mergeCell ref="E106:F106"/>
    <mergeCell ref="G106:I106"/>
    <mergeCell ref="J106:M106"/>
    <mergeCell ref="A107:D107"/>
    <mergeCell ref="E107:F107"/>
    <mergeCell ref="G107:I107"/>
    <mergeCell ref="J107:M107"/>
    <mergeCell ref="A112:D112"/>
    <mergeCell ref="E112:F112"/>
    <mergeCell ref="G112:I112"/>
    <mergeCell ref="J112:M112"/>
    <mergeCell ref="A113:D113"/>
    <mergeCell ref="E113:F113"/>
    <mergeCell ref="G113:I113"/>
    <mergeCell ref="J113:M113"/>
    <mergeCell ref="A110:D110"/>
    <mergeCell ref="E110:F110"/>
    <mergeCell ref="G110:I110"/>
    <mergeCell ref="J110:M110"/>
    <mergeCell ref="A111:D111"/>
    <mergeCell ref="E111:F111"/>
    <mergeCell ref="G111:I111"/>
    <mergeCell ref="J111:M111"/>
    <mergeCell ref="A116:D116"/>
    <mergeCell ref="E116:F116"/>
    <mergeCell ref="G116:I116"/>
    <mergeCell ref="J116:M116"/>
    <mergeCell ref="A117:D117"/>
    <mergeCell ref="E117:F117"/>
    <mergeCell ref="G117:I117"/>
    <mergeCell ref="J117:M117"/>
    <mergeCell ref="A114:D114"/>
    <mergeCell ref="E114:F114"/>
    <mergeCell ref="G114:I114"/>
    <mergeCell ref="J114:M114"/>
    <mergeCell ref="A115:D115"/>
    <mergeCell ref="E115:F115"/>
    <mergeCell ref="G115:I115"/>
    <mergeCell ref="J115:M115"/>
    <mergeCell ref="A120:D120"/>
    <mergeCell ref="E120:F120"/>
    <mergeCell ref="G120:I120"/>
    <mergeCell ref="J120:M120"/>
    <mergeCell ref="A121:D121"/>
    <mergeCell ref="E121:F121"/>
    <mergeCell ref="G121:I121"/>
    <mergeCell ref="J121:M121"/>
    <mergeCell ref="A118:D118"/>
    <mergeCell ref="E118:F118"/>
    <mergeCell ref="G118:I118"/>
    <mergeCell ref="J118:M118"/>
    <mergeCell ref="A119:D119"/>
    <mergeCell ref="E119:F119"/>
    <mergeCell ref="G119:I119"/>
    <mergeCell ref="J119:M119"/>
    <mergeCell ref="A124:D124"/>
    <mergeCell ref="E124:F124"/>
    <mergeCell ref="G124:I124"/>
    <mergeCell ref="J124:M124"/>
    <mergeCell ref="A125:D125"/>
    <mergeCell ref="E125:F125"/>
    <mergeCell ref="G125:I125"/>
    <mergeCell ref="J125:M125"/>
    <mergeCell ref="A122:D122"/>
    <mergeCell ref="E122:F122"/>
    <mergeCell ref="G122:I122"/>
    <mergeCell ref="J122:M122"/>
    <mergeCell ref="A123:D123"/>
    <mergeCell ref="E123:F123"/>
    <mergeCell ref="G123:I123"/>
    <mergeCell ref="J123:M123"/>
    <mergeCell ref="A128:D128"/>
    <mergeCell ref="E128:F128"/>
    <mergeCell ref="G128:I128"/>
    <mergeCell ref="J128:M128"/>
    <mergeCell ref="A129:D129"/>
    <mergeCell ref="E129:F129"/>
    <mergeCell ref="G129:I129"/>
    <mergeCell ref="J129:M129"/>
    <mergeCell ref="A126:D126"/>
    <mergeCell ref="E126:F126"/>
    <mergeCell ref="G126:I126"/>
    <mergeCell ref="J126:M126"/>
    <mergeCell ref="A127:D127"/>
    <mergeCell ref="E127:F127"/>
    <mergeCell ref="G127:I127"/>
    <mergeCell ref="J127:M127"/>
    <mergeCell ref="A132:D132"/>
    <mergeCell ref="E132:F132"/>
    <mergeCell ref="G132:I132"/>
    <mergeCell ref="J132:M132"/>
    <mergeCell ref="A133:D133"/>
    <mergeCell ref="E133:F133"/>
    <mergeCell ref="G133:I133"/>
    <mergeCell ref="J133:M133"/>
    <mergeCell ref="A130:D130"/>
    <mergeCell ref="E130:F130"/>
    <mergeCell ref="G130:I130"/>
    <mergeCell ref="J130:M130"/>
    <mergeCell ref="A131:D131"/>
    <mergeCell ref="E131:F131"/>
    <mergeCell ref="G131:I131"/>
    <mergeCell ref="J131:M131"/>
    <mergeCell ref="A136:D136"/>
    <mergeCell ref="E136:F136"/>
    <mergeCell ref="G136:I136"/>
    <mergeCell ref="J136:M136"/>
    <mergeCell ref="A137:D137"/>
    <mergeCell ref="E137:F137"/>
    <mergeCell ref="G137:I137"/>
    <mergeCell ref="J137:M137"/>
    <mergeCell ref="A134:D134"/>
    <mergeCell ref="E134:F134"/>
    <mergeCell ref="G134:I134"/>
    <mergeCell ref="J134:M134"/>
    <mergeCell ref="A135:D135"/>
    <mergeCell ref="E135:F135"/>
    <mergeCell ref="G135:I135"/>
    <mergeCell ref="J135:M135"/>
    <mergeCell ref="A140:D140"/>
    <mergeCell ref="E140:F140"/>
    <mergeCell ref="G140:I140"/>
    <mergeCell ref="J140:M140"/>
    <mergeCell ref="A141:D141"/>
    <mergeCell ref="E141:F141"/>
    <mergeCell ref="G141:I141"/>
    <mergeCell ref="J141:M141"/>
    <mergeCell ref="A138:D138"/>
    <mergeCell ref="E138:F138"/>
    <mergeCell ref="G138:I138"/>
    <mergeCell ref="J138:M138"/>
    <mergeCell ref="A139:D139"/>
    <mergeCell ref="E139:F139"/>
    <mergeCell ref="G139:I139"/>
    <mergeCell ref="J139:M139"/>
    <mergeCell ref="A144:D144"/>
    <mergeCell ref="E144:F144"/>
    <mergeCell ref="G144:I144"/>
    <mergeCell ref="J144:M144"/>
    <mergeCell ref="A145:D145"/>
    <mergeCell ref="E145:F145"/>
    <mergeCell ref="G145:I145"/>
    <mergeCell ref="J145:M145"/>
    <mergeCell ref="A142:D142"/>
    <mergeCell ref="E142:F142"/>
    <mergeCell ref="G142:I142"/>
    <mergeCell ref="J142:M142"/>
    <mergeCell ref="A143:D143"/>
    <mergeCell ref="E143:F143"/>
    <mergeCell ref="G143:I143"/>
    <mergeCell ref="J143:M143"/>
    <mergeCell ref="A148:D148"/>
    <mergeCell ref="E148:F148"/>
    <mergeCell ref="G148:I148"/>
    <mergeCell ref="J148:M148"/>
    <mergeCell ref="A149:D149"/>
    <mergeCell ref="E149:F149"/>
    <mergeCell ref="G149:I149"/>
    <mergeCell ref="J149:M149"/>
    <mergeCell ref="A146:D146"/>
    <mergeCell ref="E146:F146"/>
    <mergeCell ref="G146:I146"/>
    <mergeCell ref="J146:M146"/>
    <mergeCell ref="A147:D147"/>
    <mergeCell ref="E147:F147"/>
    <mergeCell ref="G147:I147"/>
    <mergeCell ref="J147:M147"/>
    <mergeCell ref="A152:D152"/>
    <mergeCell ref="E152:F152"/>
    <mergeCell ref="G152:I152"/>
    <mergeCell ref="J152:M152"/>
    <mergeCell ref="A153:D153"/>
    <mergeCell ref="E153:F153"/>
    <mergeCell ref="G153:I153"/>
    <mergeCell ref="J153:M153"/>
    <mergeCell ref="A150:D150"/>
    <mergeCell ref="E150:F150"/>
    <mergeCell ref="G150:I150"/>
    <mergeCell ref="J150:M150"/>
    <mergeCell ref="A151:D151"/>
    <mergeCell ref="E151:F151"/>
    <mergeCell ref="G151:I151"/>
    <mergeCell ref="J151:M151"/>
    <mergeCell ref="A156:D156"/>
    <mergeCell ref="E156:F156"/>
    <mergeCell ref="G156:I156"/>
    <mergeCell ref="J156:M156"/>
    <mergeCell ref="A157:D157"/>
    <mergeCell ref="E157:F157"/>
    <mergeCell ref="G157:I157"/>
    <mergeCell ref="J157:M157"/>
    <mergeCell ref="A154:D154"/>
    <mergeCell ref="E154:F154"/>
    <mergeCell ref="G154:I154"/>
    <mergeCell ref="J154:M154"/>
    <mergeCell ref="A155:D155"/>
    <mergeCell ref="E155:F155"/>
    <mergeCell ref="G155:I155"/>
    <mergeCell ref="J155:M155"/>
    <mergeCell ref="A160:D160"/>
    <mergeCell ref="E160:F160"/>
    <mergeCell ref="G160:I160"/>
    <mergeCell ref="J160:M160"/>
    <mergeCell ref="A161:D161"/>
    <mergeCell ref="E161:F161"/>
    <mergeCell ref="G161:I161"/>
    <mergeCell ref="J161:M161"/>
    <mergeCell ref="A158:D158"/>
    <mergeCell ref="E158:F158"/>
    <mergeCell ref="G158:I158"/>
    <mergeCell ref="J158:M158"/>
    <mergeCell ref="A159:D159"/>
    <mergeCell ref="E159:F159"/>
    <mergeCell ref="G159:I159"/>
    <mergeCell ref="J159:M159"/>
    <mergeCell ref="A164:D164"/>
    <mergeCell ref="E164:F164"/>
    <mergeCell ref="G164:I164"/>
    <mergeCell ref="J164:M164"/>
    <mergeCell ref="A165:D165"/>
    <mergeCell ref="E165:F165"/>
    <mergeCell ref="G165:I165"/>
    <mergeCell ref="J165:M165"/>
    <mergeCell ref="A162:D162"/>
    <mergeCell ref="E162:F162"/>
    <mergeCell ref="G162:I162"/>
    <mergeCell ref="J162:M162"/>
    <mergeCell ref="A163:D163"/>
    <mergeCell ref="E163:F163"/>
    <mergeCell ref="G163:I163"/>
    <mergeCell ref="J163:M163"/>
    <mergeCell ref="A168:D168"/>
    <mergeCell ref="E168:F168"/>
    <mergeCell ref="G168:I168"/>
    <mergeCell ref="J168:M168"/>
    <mergeCell ref="A169:D169"/>
    <mergeCell ref="E169:F169"/>
    <mergeCell ref="G169:I169"/>
    <mergeCell ref="J169:M169"/>
    <mergeCell ref="A166:D166"/>
    <mergeCell ref="E166:F166"/>
    <mergeCell ref="G166:I166"/>
    <mergeCell ref="J166:M166"/>
    <mergeCell ref="A167:D167"/>
    <mergeCell ref="E167:F167"/>
    <mergeCell ref="G167:I167"/>
    <mergeCell ref="J167:M167"/>
    <mergeCell ref="C176:K177"/>
    <mergeCell ref="M176:N176"/>
    <mergeCell ref="A170:C170"/>
    <mergeCell ref="D170:E170"/>
    <mergeCell ref="F170:G170"/>
    <mergeCell ref="H170:L170"/>
    <mergeCell ref="M170:N170"/>
    <mergeCell ref="M172:N173"/>
    <mergeCell ref="C173:J174"/>
  </mergeCells>
  <pageMargins left="0.19666667282581299" right="0.18999999761581399" top="0.20000000298023199" bottom="0.20000000298023199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2A5664"/>
  </sheetPr>
  <dimension ref="A1:AO33"/>
  <sheetViews>
    <sheetView zoomScale="70" zoomScaleNormal="70" workbookViewId="0">
      <selection activeCell="AG20" sqref="AG20"/>
    </sheetView>
  </sheetViews>
  <sheetFormatPr defaultColWidth="9.140625" defaultRowHeight="26.25" zeroHeight="1"/>
  <cols>
    <col min="1" max="1" width="7.85546875" style="90" bestFit="1" customWidth="1"/>
    <col min="2" max="2" width="47.5703125" style="90" bestFit="1" customWidth="1"/>
    <col min="3" max="3" width="10.42578125" style="90" bestFit="1" customWidth="1"/>
    <col min="4" max="4" width="21" style="90" customWidth="1"/>
    <col min="5" max="5" width="18" style="90" customWidth="1"/>
    <col min="6" max="6" width="17.28515625" style="90" customWidth="1"/>
    <col min="7" max="7" width="14" style="90" hidden="1" customWidth="1"/>
    <col min="8" max="8" width="22.42578125" style="90" hidden="1" customWidth="1"/>
    <col min="9" max="9" width="18.85546875" style="596" customWidth="1"/>
    <col min="10" max="10" width="11.7109375" style="90" customWidth="1"/>
    <col min="11" max="11" width="53" style="90" customWidth="1"/>
    <col min="12" max="12" width="10.42578125" style="90" bestFit="1" customWidth="1"/>
    <col min="13" max="13" width="23.85546875" style="90" bestFit="1" customWidth="1"/>
    <col min="14" max="14" width="20.140625" style="90" customWidth="1"/>
    <col min="15" max="15" width="14.42578125" style="90" customWidth="1"/>
    <col min="16" max="16" width="17.85546875" style="90" customWidth="1"/>
    <col min="17" max="18" width="17.28515625" style="90" hidden="1" customWidth="1"/>
    <col min="19" max="27" width="0" style="136" hidden="1" customWidth="1"/>
    <col min="28" max="28" width="25.7109375" style="136" hidden="1" customWidth="1"/>
    <col min="29" max="16384" width="9.140625" style="136"/>
  </cols>
  <sheetData>
    <row r="1" spans="1:41">
      <c r="A1" s="334" t="s">
        <v>326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246"/>
    </row>
    <row r="2" spans="1:41" ht="27" thickBot="1"/>
    <row r="3" spans="1:41" ht="45" customHeight="1">
      <c r="A3" s="528" t="s">
        <v>32</v>
      </c>
      <c r="B3" s="529" t="s">
        <v>33</v>
      </c>
      <c r="C3" s="529"/>
      <c r="D3" s="195" t="s">
        <v>164</v>
      </c>
      <c r="E3" s="195" t="s">
        <v>331</v>
      </c>
      <c r="F3" s="195" t="s">
        <v>330</v>
      </c>
      <c r="G3" s="152"/>
      <c r="H3" s="195" t="s">
        <v>164</v>
      </c>
      <c r="I3" s="597"/>
      <c r="J3" s="528" t="s">
        <v>32</v>
      </c>
      <c r="K3" s="529" t="s">
        <v>34</v>
      </c>
      <c r="L3" s="529"/>
      <c r="M3" s="195" t="s">
        <v>164</v>
      </c>
      <c r="N3" s="195" t="s">
        <v>331</v>
      </c>
      <c r="O3" s="12" t="s">
        <v>328</v>
      </c>
      <c r="P3" s="195" t="s">
        <v>164</v>
      </c>
      <c r="R3" s="206" t="s">
        <v>341</v>
      </c>
      <c r="S3" s="186"/>
      <c r="T3" s="186"/>
      <c r="U3" s="186"/>
      <c r="V3" s="186"/>
      <c r="W3" s="186"/>
      <c r="X3" s="186"/>
      <c r="Y3" s="186"/>
      <c r="Z3" s="186"/>
      <c r="AA3" s="187"/>
      <c r="AD3" s="501" t="s">
        <v>621</v>
      </c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3"/>
    </row>
    <row r="4" spans="1:41" ht="36" customHeight="1">
      <c r="A4" s="528"/>
      <c r="B4" s="531" t="s">
        <v>116</v>
      </c>
      <c r="C4" s="531"/>
      <c r="D4" s="15">
        <f>'Fontes '!C8</f>
        <v>3525383.9200000004</v>
      </c>
      <c r="E4" s="15">
        <f>'Fontes '!D8</f>
        <v>3770964.94</v>
      </c>
      <c r="F4" s="16">
        <f>IFERROR(E4/D4*100,0)</f>
        <v>106.9660787469638</v>
      </c>
      <c r="G4" s="172" t="b">
        <f>'Fontes '!D8=E4</f>
        <v>1</v>
      </c>
      <c r="H4" s="15" t="b">
        <f>D4=[3]FORM.3!$E$6</f>
        <v>1</v>
      </c>
      <c r="I4" s="598" t="b">
        <f>'Fontes '!H8=E4</f>
        <v>1</v>
      </c>
      <c r="J4" s="530"/>
      <c r="K4" s="532" t="s">
        <v>47</v>
      </c>
      <c r="L4" s="532"/>
      <c r="M4" s="138">
        <v>2139867.7272594706</v>
      </c>
      <c r="N4" s="196">
        <v>2089706.04</v>
      </c>
      <c r="O4" s="16">
        <f>IFERROR(N4/M4*100,0)</f>
        <v>97.655851031329277</v>
      </c>
      <c r="P4" s="138" t="b">
        <f>M4=[3]FORM.3!$O$6</f>
        <v>1</v>
      </c>
      <c r="Q4" s="159">
        <f>Despesas!J19</f>
        <v>2089706.04</v>
      </c>
      <c r="R4" s="506" t="s">
        <v>343</v>
      </c>
      <c r="S4" s="507"/>
      <c r="T4" s="507"/>
      <c r="U4" s="507"/>
      <c r="V4" s="507"/>
      <c r="W4" s="507"/>
      <c r="X4" s="507"/>
      <c r="Y4" s="507"/>
      <c r="Z4" s="507"/>
      <c r="AA4" s="508"/>
      <c r="AB4" s="159" t="b">
        <f>N4=Q4</f>
        <v>1</v>
      </c>
      <c r="AD4" s="512" t="s">
        <v>802</v>
      </c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4"/>
    </row>
    <row r="5" spans="1:41" ht="36" customHeight="1">
      <c r="A5" s="528"/>
      <c r="B5" s="531" t="s">
        <v>35</v>
      </c>
      <c r="C5" s="531"/>
      <c r="D5" s="15">
        <f>'Fontes '!C20</f>
        <v>0</v>
      </c>
      <c r="E5" s="15">
        <f>'Fontes '!D20</f>
        <v>0</v>
      </c>
      <c r="F5" s="16">
        <f t="shared" ref="F5:F8" si="0">IFERROR(E5/D5*100,0)</f>
        <v>0</v>
      </c>
      <c r="G5" s="172" t="b">
        <f>'Fontes '!D20=E5</f>
        <v>1</v>
      </c>
      <c r="H5" s="15" t="b">
        <f>D5=[3]FORM.3!$E$7</f>
        <v>1</v>
      </c>
      <c r="I5" s="598"/>
      <c r="J5" s="530"/>
      <c r="K5" s="532" t="s">
        <v>42</v>
      </c>
      <c r="L5" s="532"/>
      <c r="M5" s="138">
        <v>253201.49000000005</v>
      </c>
      <c r="N5" s="197">
        <f>245171.83+5655.34</f>
        <v>250827.16999999998</v>
      </c>
      <c r="O5" s="16">
        <f>IFERROR(N5/M5*100,0)</f>
        <v>99.062280399692725</v>
      </c>
      <c r="P5" s="138" t="b">
        <f>M5=[3]FORM.3!$O$7</f>
        <v>1</v>
      </c>
      <c r="Q5" s="159">
        <f>Despesas!J34</f>
        <v>245171.83</v>
      </c>
      <c r="R5" s="509"/>
      <c r="S5" s="510"/>
      <c r="T5" s="510"/>
      <c r="U5" s="510"/>
      <c r="V5" s="510"/>
      <c r="W5" s="510"/>
      <c r="X5" s="510"/>
      <c r="Y5" s="510"/>
      <c r="Z5" s="510"/>
      <c r="AA5" s="511"/>
      <c r="AB5" s="159" t="b">
        <f>Q5+5655.34=N5</f>
        <v>1</v>
      </c>
      <c r="AD5" s="512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4"/>
    </row>
    <row r="6" spans="1:41" ht="36" customHeight="1">
      <c r="A6" s="528"/>
      <c r="B6" s="545" t="s">
        <v>43</v>
      </c>
      <c r="C6" s="545"/>
      <c r="D6" s="153">
        <f>SUM(D4:D5)</f>
        <v>3525383.9200000004</v>
      </c>
      <c r="E6" s="153">
        <f>SUM(E4:E5)</f>
        <v>3770964.94</v>
      </c>
      <c r="F6" s="154">
        <f t="shared" si="0"/>
        <v>106.9660787469638</v>
      </c>
      <c r="G6" s="135"/>
      <c r="H6" s="153" t="b">
        <f>D6=[3]FORM.3!$E$8</f>
        <v>1</v>
      </c>
      <c r="I6" s="598"/>
      <c r="J6" s="530"/>
      <c r="K6" s="532" t="s">
        <v>44</v>
      </c>
      <c r="L6" s="532"/>
      <c r="M6" s="161">
        <v>3611383.9200000004</v>
      </c>
      <c r="N6" s="162">
        <f>'Fontes '!D7</f>
        <v>3907928.82</v>
      </c>
      <c r="O6" s="16">
        <f>IFERROR(N6/M6*100,0)</f>
        <v>108.21139226870122</v>
      </c>
      <c r="P6" s="138" t="b">
        <f>M6=[3]FORM.3!$O$8</f>
        <v>1</v>
      </c>
      <c r="Q6" s="159"/>
      <c r="R6" s="506" t="s">
        <v>344</v>
      </c>
      <c r="S6" s="507"/>
      <c r="T6" s="507"/>
      <c r="U6" s="507"/>
      <c r="V6" s="507"/>
      <c r="W6" s="507"/>
      <c r="X6" s="507"/>
      <c r="Y6" s="507"/>
      <c r="Z6" s="507"/>
      <c r="AA6" s="508"/>
      <c r="AB6" s="159" t="b">
        <f>N6='Fontes '!D7</f>
        <v>1</v>
      </c>
      <c r="AD6" s="512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4"/>
    </row>
    <row r="7" spans="1:41" ht="36" customHeight="1">
      <c r="A7" s="528"/>
      <c r="B7" s="531" t="s">
        <v>45</v>
      </c>
      <c r="C7" s="531"/>
      <c r="D7" s="208">
        <v>75501.399999999994</v>
      </c>
      <c r="E7" s="208">
        <v>75501.399999999994</v>
      </c>
      <c r="F7" s="16">
        <f t="shared" si="0"/>
        <v>100</v>
      </c>
      <c r="G7" s="135"/>
      <c r="H7" s="208" t="b">
        <f>D7=[3]FORM.3!$E$9</f>
        <v>1</v>
      </c>
      <c r="I7" s="598" t="b">
        <f>'Quadro Geral'!H15=E7</f>
        <v>1</v>
      </c>
      <c r="J7" s="533"/>
      <c r="K7" s="533"/>
      <c r="L7" s="137"/>
      <c r="M7" s="140"/>
      <c r="N7" s="141"/>
      <c r="O7" s="141"/>
      <c r="P7" s="140"/>
      <c r="Q7" s="141"/>
      <c r="R7" s="509"/>
      <c r="S7" s="510"/>
      <c r="T7" s="510"/>
      <c r="U7" s="510"/>
      <c r="V7" s="510"/>
      <c r="W7" s="510"/>
      <c r="X7" s="510"/>
      <c r="Y7" s="510"/>
      <c r="Z7" s="510"/>
      <c r="AA7" s="511"/>
      <c r="AD7" s="512" t="s">
        <v>803</v>
      </c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4"/>
    </row>
    <row r="8" spans="1:41" ht="36" customHeight="1">
      <c r="A8" s="528"/>
      <c r="B8" s="468" t="s">
        <v>51</v>
      </c>
      <c r="C8" s="468"/>
      <c r="D8" s="153">
        <f>D6-D7</f>
        <v>3449882.5200000005</v>
      </c>
      <c r="E8" s="153">
        <f>E6-E7</f>
        <v>3695463.54</v>
      </c>
      <c r="F8" s="154">
        <f t="shared" si="0"/>
        <v>107.11853283630074</v>
      </c>
      <c r="G8" s="135"/>
      <c r="H8" s="153" t="b">
        <f>D8=[3]FORM.3!$E$10</f>
        <v>1</v>
      </c>
      <c r="I8" s="598"/>
      <c r="J8" s="127"/>
      <c r="K8" s="127"/>
      <c r="L8" s="137"/>
      <c r="M8" s="142"/>
      <c r="N8" s="143"/>
      <c r="O8" s="142"/>
      <c r="P8" s="142"/>
      <c r="Q8" s="144"/>
      <c r="R8" s="506" t="s">
        <v>345</v>
      </c>
      <c r="S8" s="507"/>
      <c r="T8" s="507"/>
      <c r="U8" s="507"/>
      <c r="V8" s="507"/>
      <c r="W8" s="507"/>
      <c r="X8" s="507"/>
      <c r="Y8" s="507"/>
      <c r="Z8" s="507"/>
      <c r="AA8" s="508"/>
      <c r="AB8" s="144"/>
      <c r="AC8" s="144"/>
      <c r="AD8" s="512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4"/>
    </row>
    <row r="9" spans="1:41" s="149" customFormat="1" ht="36" customHeight="1">
      <c r="A9" s="145"/>
      <c r="B9" s="146"/>
      <c r="C9" s="146"/>
      <c r="D9" s="147"/>
      <c r="E9" s="239"/>
      <c r="F9" s="142"/>
      <c r="G9" s="147"/>
      <c r="H9" s="147"/>
      <c r="I9" s="599"/>
      <c r="J9" s="127"/>
      <c r="K9" s="127"/>
      <c r="L9" s="137"/>
      <c r="M9" s="142"/>
      <c r="N9" s="143"/>
      <c r="O9" s="142"/>
      <c r="P9" s="142"/>
      <c r="Q9" s="148"/>
      <c r="R9" s="509"/>
      <c r="S9" s="510"/>
      <c r="T9" s="510"/>
      <c r="U9" s="510"/>
      <c r="V9" s="510"/>
      <c r="W9" s="510"/>
      <c r="X9" s="510"/>
      <c r="Y9" s="510"/>
      <c r="Z9" s="510"/>
      <c r="AA9" s="511"/>
      <c r="AB9" s="148"/>
      <c r="AC9" s="148"/>
      <c r="AD9" s="512" t="s">
        <v>804</v>
      </c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4"/>
    </row>
    <row r="10" spans="1:41" ht="58.5" customHeight="1">
      <c r="A10" s="528" t="s">
        <v>50</v>
      </c>
      <c r="B10" s="529" t="s">
        <v>38</v>
      </c>
      <c r="C10" s="529"/>
      <c r="D10" s="195" t="s">
        <v>332</v>
      </c>
      <c r="E10" s="195" t="s">
        <v>331</v>
      </c>
      <c r="F10" s="207" t="s">
        <v>328</v>
      </c>
      <c r="G10" s="147"/>
      <c r="H10" s="195"/>
      <c r="I10" s="599"/>
      <c r="J10" s="529" t="s">
        <v>38</v>
      </c>
      <c r="K10" s="529"/>
      <c r="L10" s="529"/>
      <c r="M10" s="195" t="s">
        <v>164</v>
      </c>
      <c r="N10" s="195" t="s">
        <v>331</v>
      </c>
      <c r="O10" s="179" t="s">
        <v>328</v>
      </c>
      <c r="P10" s="195" t="s">
        <v>164</v>
      </c>
      <c r="Q10" s="144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515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7"/>
    </row>
    <row r="11" spans="1:41" ht="36" customHeight="1">
      <c r="A11" s="528"/>
      <c r="B11" s="504" t="s">
        <v>210</v>
      </c>
      <c r="C11" s="155" t="s">
        <v>36</v>
      </c>
      <c r="D11" s="223">
        <v>790623.48727025033</v>
      </c>
      <c r="E11" s="139">
        <f>'Quadro Geral'!H8+'Quadro Geral'!H13</f>
        <v>805686.48</v>
      </c>
      <c r="F11" s="16">
        <f>IFERROR(E11/D11*100,)</f>
        <v>101.90520430676261</v>
      </c>
      <c r="G11" s="172" t="b">
        <f>E11='Matriz de Obj. Estrat.'!J5</f>
        <v>1</v>
      </c>
      <c r="H11" s="223" t="b">
        <f>D11=[3]FORM.3!E13</f>
        <v>1</v>
      </c>
      <c r="I11" s="600" t="b">
        <f>'Matriz de Obj. Estrat.'!J5=E11</f>
        <v>1</v>
      </c>
      <c r="J11" s="535" t="s">
        <v>211</v>
      </c>
      <c r="K11" s="535"/>
      <c r="L11" s="155" t="s">
        <v>36</v>
      </c>
      <c r="M11" s="161">
        <f>(M4-M5)</f>
        <v>1886666.2372594706</v>
      </c>
      <c r="N11" s="162">
        <f>(N4-N5)</f>
        <v>1838878.87</v>
      </c>
      <c r="O11" s="16">
        <f>IFERROR(N11/M11*100,0)</f>
        <v>97.467100098802561</v>
      </c>
      <c r="P11" s="161" t="b">
        <f>M11=[3]FORM.3!$O$13</f>
        <v>1</v>
      </c>
      <c r="Q11" s="159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288"/>
    </row>
    <row r="12" spans="1:41" ht="36" customHeight="1">
      <c r="A12" s="528"/>
      <c r="B12" s="505"/>
      <c r="C12" s="156" t="s">
        <v>37</v>
      </c>
      <c r="D12" s="222">
        <v>0.22917403206827178</v>
      </c>
      <c r="E12" s="158">
        <f>IFERROR(E11/$E$8,0)</f>
        <v>0.21802041104699951</v>
      </c>
      <c r="F12" s="157">
        <f>(E12-D12)*100</f>
        <v>-1.1153621021272264</v>
      </c>
      <c r="G12" s="160"/>
      <c r="H12" s="222" t="b">
        <f>D12=[3]FORM.3!$E$14</f>
        <v>1</v>
      </c>
      <c r="I12" s="601"/>
      <c r="J12" s="535"/>
      <c r="K12" s="535"/>
      <c r="L12" s="156" t="s">
        <v>37</v>
      </c>
      <c r="M12" s="163">
        <f>IFERROR(M11/M6,)</f>
        <v>0.52242195209737508</v>
      </c>
      <c r="N12" s="163">
        <f>IFERROR(N11/N6,)</f>
        <v>0.47055075839380311</v>
      </c>
      <c r="O12" s="157">
        <f>(N12-M12)*100</f>
        <v>-5.1871193703571965</v>
      </c>
      <c r="P12" s="163" t="b">
        <f>M12=[3]FORM.3!O14</f>
        <v>1</v>
      </c>
      <c r="Q12" s="164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</row>
    <row r="13" spans="1:41" ht="36" customHeight="1">
      <c r="A13" s="528"/>
      <c r="B13" s="504" t="s">
        <v>212</v>
      </c>
      <c r="C13" s="155" t="s">
        <v>36</v>
      </c>
      <c r="D13" s="223">
        <v>481127.60696259583</v>
      </c>
      <c r="E13" s="139">
        <f>'Quadro Geral'!H10+'Quadro Geral'!H14</f>
        <v>438901.89</v>
      </c>
      <c r="F13" s="16">
        <f>IFERROR(E13/D13*100,)</f>
        <v>91.223593002868668</v>
      </c>
      <c r="G13" s="172" t="b">
        <f>E13='Matriz de Obj. Estrat.'!J6</f>
        <v>1</v>
      </c>
      <c r="H13" s="223" t="b">
        <f>D13=[3]FORM.3!$E$15</f>
        <v>1</v>
      </c>
      <c r="I13" s="600" t="b">
        <f>'Matriz de Obj. Estrat.'!J6=E13</f>
        <v>1</v>
      </c>
      <c r="J13" s="534" t="s">
        <v>213</v>
      </c>
      <c r="K13" s="534"/>
      <c r="L13" s="155" t="s">
        <v>36</v>
      </c>
      <c r="M13" s="138">
        <v>46200</v>
      </c>
      <c r="N13" s="139">
        <f>'Quadro Geral'!H12</f>
        <v>33915.629999999997</v>
      </c>
      <c r="O13" s="16">
        <f>IFERROR(N13/M13*100,0)</f>
        <v>73.410454545454542</v>
      </c>
      <c r="P13" s="138" t="b">
        <f>M13=[3]FORM.3!O15</f>
        <v>1</v>
      </c>
      <c r="Q13" s="172">
        <f>'Matriz de Obj. Estrat.'!J16</f>
        <v>33915.629999999997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 t="b">
        <f>N13=Q13</f>
        <v>1</v>
      </c>
      <c r="AC13" s="148"/>
    </row>
    <row r="14" spans="1:41" ht="36" customHeight="1">
      <c r="A14" s="528"/>
      <c r="B14" s="505"/>
      <c r="C14" s="156" t="s">
        <v>37</v>
      </c>
      <c r="D14" s="222">
        <v>0.13946202636563862</v>
      </c>
      <c r="E14" s="158">
        <f>IFERROR(E13/$E$8,0)</f>
        <v>0.11876775003982315</v>
      </c>
      <c r="F14" s="157">
        <f>(E14-D14)*100</f>
        <v>-2.0694276325815468</v>
      </c>
      <c r="G14" s="160"/>
      <c r="H14" s="222" t="b">
        <f>D14=[3]FORM.3!$E$16</f>
        <v>1</v>
      </c>
      <c r="I14" s="601"/>
      <c r="J14" s="534"/>
      <c r="K14" s="534"/>
      <c r="L14" s="156" t="s">
        <v>37</v>
      </c>
      <c r="M14" s="163">
        <f>IFERROR(M13/M4,)</f>
        <v>2.1590119525363542E-2</v>
      </c>
      <c r="N14" s="163">
        <f>IFERROR(N13/N4,)</f>
        <v>1.6229856903701153E-2</v>
      </c>
      <c r="O14" s="157">
        <f>(N14-M14)*100</f>
        <v>-0.53602626216623894</v>
      </c>
      <c r="P14" s="163" t="b">
        <f>M14=[3]FORM.3!O16</f>
        <v>1</v>
      </c>
      <c r="Q14" s="164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</row>
    <row r="15" spans="1:41" ht="36" customHeight="1" thickBot="1">
      <c r="A15" s="528"/>
      <c r="B15" s="504" t="s">
        <v>214</v>
      </c>
      <c r="C15" s="155" t="s">
        <v>36</v>
      </c>
      <c r="D15" s="224">
        <v>185147.97393250003</v>
      </c>
      <c r="E15" s="139">
        <f>'Quadro Geral'!H11</f>
        <v>125218.07</v>
      </c>
      <c r="F15" s="16">
        <f>IFERROR(E15/D15*100,)</f>
        <v>67.63134769470993</v>
      </c>
      <c r="G15" s="172" t="b">
        <f>E15='Matriz de Obj. Estrat.'!J11</f>
        <v>1</v>
      </c>
      <c r="H15" s="224" t="b">
        <f>D15=[3]FORM.3!$E$17</f>
        <v>1</v>
      </c>
      <c r="I15" s="600" t="b">
        <f>'Matriz de Obj. Estrat.'!J11=E15</f>
        <v>1</v>
      </c>
      <c r="Q15" s="145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1:41" ht="36" customHeight="1">
      <c r="A16" s="528"/>
      <c r="B16" s="505"/>
      <c r="C16" s="156" t="s">
        <v>37</v>
      </c>
      <c r="D16" s="222">
        <v>5.3667906909624273E-2</v>
      </c>
      <c r="E16" s="158">
        <f>IFERROR(E15/$E$8,0)</f>
        <v>3.3884266112932618E-2</v>
      </c>
      <c r="F16" s="157">
        <f>(E16-D16)*100</f>
        <v>-1.9783640796691655</v>
      </c>
      <c r="G16" s="160"/>
      <c r="H16" s="222" t="b">
        <f>D16=[3]FORM.3!$E$18</f>
        <v>1</v>
      </c>
      <c r="I16" s="601"/>
      <c r="J16" s="536" t="s">
        <v>333</v>
      </c>
      <c r="K16" s="537"/>
      <c r="L16" s="537"/>
      <c r="M16" s="537"/>
      <c r="N16" s="537"/>
      <c r="O16" s="538"/>
      <c r="P16" s="238"/>
    </row>
    <row r="17" spans="1:18" ht="36" customHeight="1">
      <c r="A17" s="528"/>
      <c r="B17" s="504" t="s">
        <v>215</v>
      </c>
      <c r="C17" s="155" t="s">
        <v>36</v>
      </c>
      <c r="D17" s="224">
        <v>34381.175000000003</v>
      </c>
      <c r="E17" s="139">
        <f>'Quadro Geral'!H17</f>
        <v>34381.18</v>
      </c>
      <c r="F17" s="16">
        <f>IFERROR(E17/D17*100,)</f>
        <v>100.00001454284211</v>
      </c>
      <c r="G17" s="159"/>
      <c r="H17" s="224" t="b">
        <f>D17=[3]FORM.3!$E$19</f>
        <v>1</v>
      </c>
      <c r="I17" s="600" t="b">
        <f>'Quadro Geral'!H17=E17</f>
        <v>1</v>
      </c>
      <c r="J17" s="539"/>
      <c r="K17" s="540"/>
      <c r="L17" s="540"/>
      <c r="M17" s="540"/>
      <c r="N17" s="540"/>
      <c r="O17" s="541"/>
      <c r="P17" s="238"/>
    </row>
    <row r="18" spans="1:18" ht="36" customHeight="1">
      <c r="A18" s="528"/>
      <c r="B18" s="505"/>
      <c r="C18" s="156" t="s">
        <v>37</v>
      </c>
      <c r="D18" s="222">
        <v>9.9658973314836231E-3</v>
      </c>
      <c r="E18" s="158">
        <f>IFERROR(E17/$E$8,0)</f>
        <v>9.3036176998785927E-3</v>
      </c>
      <c r="F18" s="157">
        <f>(E18-D18)*100</f>
        <v>-6.6227963160503042E-2</v>
      </c>
      <c r="G18" s="160"/>
      <c r="H18" s="222" t="b">
        <f>D18=[3]FORM.3!$E$20</f>
        <v>1</v>
      </c>
      <c r="I18" s="601"/>
      <c r="J18" s="539"/>
      <c r="K18" s="540"/>
      <c r="L18" s="540"/>
      <c r="M18" s="540"/>
      <c r="N18" s="540"/>
      <c r="O18" s="541"/>
      <c r="P18" s="238"/>
    </row>
    <row r="19" spans="1:18" ht="36" customHeight="1">
      <c r="A19" s="528"/>
      <c r="B19" s="504" t="s">
        <v>216</v>
      </c>
      <c r="C19" s="155" t="s">
        <v>36</v>
      </c>
      <c r="D19" s="223">
        <v>700656.75589509588</v>
      </c>
      <c r="E19" s="240">
        <f>'Quadro Geral'!H10+'Quadro Geral'!H11+'Quadro Geral'!H14+'Quadro Geral'!H17</f>
        <v>598501.14</v>
      </c>
      <c r="F19" s="16">
        <f>IFERROR(E19/D19*100,)</f>
        <v>85.420019854858737</v>
      </c>
      <c r="G19" s="159"/>
      <c r="H19" s="223" t="b">
        <f>D19=[3]FORM.3!$E$21</f>
        <v>1</v>
      </c>
      <c r="I19" s="600">
        <f>'Quadro Geral'!H10+'Quadro Geral'!H11+'Quadro Geral'!H14+'Quadro Geral'!H17</f>
        <v>598501.14</v>
      </c>
      <c r="J19" s="539"/>
      <c r="K19" s="540"/>
      <c r="L19" s="540"/>
      <c r="M19" s="540"/>
      <c r="N19" s="540"/>
      <c r="O19" s="541"/>
      <c r="P19" s="238"/>
    </row>
    <row r="20" spans="1:18" ht="36" customHeight="1">
      <c r="A20" s="528"/>
      <c r="B20" s="505"/>
      <c r="C20" s="156" t="s">
        <v>37</v>
      </c>
      <c r="D20" s="248">
        <v>0.20309583060674652</v>
      </c>
      <c r="E20" s="158">
        <f>IFERROR(E19/$E$8,0)</f>
        <v>0.16195563385263437</v>
      </c>
      <c r="F20" s="157">
        <f>(E20-D20)*100</f>
        <v>-4.1140196754112148</v>
      </c>
      <c r="G20" s="160"/>
      <c r="H20" s="222" t="b">
        <f>D20=[3]FORM.3!$E$22</f>
        <v>1</v>
      </c>
      <c r="I20" s="601"/>
      <c r="J20" s="539"/>
      <c r="K20" s="540"/>
      <c r="L20" s="540"/>
      <c r="M20" s="540"/>
      <c r="N20" s="540"/>
      <c r="O20" s="541"/>
      <c r="P20" s="238"/>
    </row>
    <row r="21" spans="1:18" ht="36" customHeight="1" thickBot="1">
      <c r="A21" s="528"/>
      <c r="B21" s="504" t="s">
        <v>217</v>
      </c>
      <c r="C21" s="155" t="s">
        <v>36</v>
      </c>
      <c r="D21" s="224">
        <v>68762.350000000006</v>
      </c>
      <c r="E21" s="240">
        <f>'Quadro Geral'!H16</f>
        <v>65450</v>
      </c>
      <c r="F21" s="16">
        <f>IFERROR(E21/D21*100,)</f>
        <v>95.182901689660099</v>
      </c>
      <c r="G21" s="159"/>
      <c r="H21" s="224" t="b">
        <f>D21=[3]FORM.3!$E$23</f>
        <v>1</v>
      </c>
      <c r="I21" s="600" t="b">
        <f>'Quadro Geral'!H16=E21</f>
        <v>1</v>
      </c>
      <c r="J21" s="542"/>
      <c r="K21" s="543"/>
      <c r="L21" s="543"/>
      <c r="M21" s="543"/>
      <c r="N21" s="543"/>
      <c r="O21" s="544"/>
      <c r="P21" s="238"/>
    </row>
    <row r="22" spans="1:18" ht="36" customHeight="1">
      <c r="A22" s="528"/>
      <c r="B22" s="505"/>
      <c r="C22" s="156" t="s">
        <v>37</v>
      </c>
      <c r="D22" s="248">
        <v>1.9931794662967246E-2</v>
      </c>
      <c r="E22" s="248">
        <f>IFERROR(E21/$E$8,0)</f>
        <v>1.7710904002045707E-2</v>
      </c>
      <c r="F22" s="157">
        <f>(E22-D22)*100</f>
        <v>-0.22208906609215395</v>
      </c>
      <c r="G22" s="160"/>
      <c r="H22" s="222" t="b">
        <f>D22=[3]FORM.3!E24</f>
        <v>1</v>
      </c>
      <c r="I22" s="601"/>
      <c r="J22" s="151"/>
      <c r="K22" s="151"/>
      <c r="L22" s="151"/>
      <c r="M22" s="151"/>
      <c r="N22" s="151"/>
      <c r="O22" s="151"/>
      <c r="P22" s="151"/>
      <c r="Q22" s="151"/>
    </row>
    <row r="23" spans="1:18" ht="36" customHeight="1">
      <c r="A23" s="528"/>
      <c r="B23" s="504" t="s">
        <v>218</v>
      </c>
      <c r="C23" s="155" t="s">
        <v>36</v>
      </c>
      <c r="D23" s="224">
        <v>25500</v>
      </c>
      <c r="E23" s="224">
        <v>3744</v>
      </c>
      <c r="F23" s="16">
        <f>IFERROR(E23/D23*100,)</f>
        <v>14.682352941176472</v>
      </c>
      <c r="G23" s="159"/>
      <c r="H23" s="224" t="b">
        <f>D23=[3]FORM.3!$E$25</f>
        <v>1</v>
      </c>
      <c r="I23" s="600">
        <f>CC!B52</f>
        <v>3744</v>
      </c>
      <c r="J23" s="151"/>
      <c r="K23" s="151"/>
      <c r="L23" s="151"/>
      <c r="M23" s="151"/>
      <c r="N23" s="151"/>
      <c r="O23" s="151"/>
      <c r="P23" s="151"/>
      <c r="Q23" s="151"/>
    </row>
    <row r="24" spans="1:18" ht="36" customHeight="1">
      <c r="A24" s="528"/>
      <c r="B24" s="505"/>
      <c r="C24" s="156" t="s">
        <v>37</v>
      </c>
      <c r="D24" s="158">
        <f>IFERROR(D23/$D$8,0)</f>
        <v>7.3915560463780651E-3</v>
      </c>
      <c r="E24" s="158">
        <f>IFERROR(E23/$E$8,0)</f>
        <v>1.0131340654493373E-3</v>
      </c>
      <c r="F24" s="157">
        <f>(E24-D24)*100</f>
        <v>-0.63784219809287279</v>
      </c>
      <c r="G24" s="160"/>
      <c r="H24" s="158" t="b">
        <f>D24=[3]FORM.3!$E$26</f>
        <v>1</v>
      </c>
      <c r="I24" s="600"/>
      <c r="J24" s="151"/>
      <c r="K24" s="151"/>
      <c r="L24" s="151"/>
      <c r="M24" s="151"/>
      <c r="N24" s="151"/>
      <c r="O24" s="151"/>
      <c r="P24" s="151"/>
      <c r="Q24" s="151"/>
    </row>
    <row r="25" spans="1:18">
      <c r="B25" s="120"/>
      <c r="J25" s="151"/>
      <c r="K25" s="151"/>
      <c r="L25" s="151"/>
      <c r="M25" s="151"/>
      <c r="N25" s="151"/>
      <c r="O25" s="151"/>
      <c r="P25" s="151"/>
      <c r="Q25" s="151"/>
    </row>
    <row r="26" spans="1:18">
      <c r="A26" s="334" t="s">
        <v>334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246"/>
    </row>
    <row r="27" spans="1:18" ht="39" customHeight="1">
      <c r="A27" s="521" t="s">
        <v>584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3"/>
      <c r="P27" s="237"/>
    </row>
    <row r="28" spans="1:18" s="288" customFormat="1" ht="39" customHeight="1">
      <c r="A28" s="423" t="s">
        <v>800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527"/>
      <c r="P28" s="290"/>
      <c r="Q28" s="90"/>
      <c r="R28" s="90"/>
    </row>
    <row r="29" spans="1:18">
      <c r="A29" s="521" t="s">
        <v>384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3"/>
      <c r="P29" s="237"/>
    </row>
    <row r="30" spans="1:18">
      <c r="A30" s="524" t="s">
        <v>582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6"/>
      <c r="P30" s="237"/>
    </row>
    <row r="31" spans="1:18">
      <c r="A31" s="524" t="s">
        <v>583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6"/>
      <c r="P31" s="237"/>
    </row>
    <row r="32" spans="1:18">
      <c r="A32" s="518" t="s">
        <v>581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20"/>
      <c r="P32" s="237"/>
    </row>
    <row r="33"/>
  </sheetData>
  <sheetProtection selectLockedCells="1"/>
  <protectedRanges>
    <protectedRange algorithmName="SHA-512" hashValue="oBu0U8UHWW1M9CSBiI+2smTKBuiu7zBMJPASzxaVW3/YfTocFsZXqoNbgPAUiXKweXnE/VLNBYi0YQjO9aRFIA==" saltValue="Uwn4xh4BFhDBBJp6oLNp+A==" spinCount="100000" sqref="R3:R6 R8" name="Indicadores"/>
  </protectedRanges>
  <mergeCells count="41">
    <mergeCell ref="A1:O1"/>
    <mergeCell ref="B8:C8"/>
    <mergeCell ref="A26:O26"/>
    <mergeCell ref="A10:A24"/>
    <mergeCell ref="J13:K14"/>
    <mergeCell ref="B15:B16"/>
    <mergeCell ref="B10:C10"/>
    <mergeCell ref="J10:L10"/>
    <mergeCell ref="B11:B12"/>
    <mergeCell ref="J11:K12"/>
    <mergeCell ref="B13:B14"/>
    <mergeCell ref="B21:B22"/>
    <mergeCell ref="J16:O21"/>
    <mergeCell ref="B6:C6"/>
    <mergeCell ref="K6:L6"/>
    <mergeCell ref="B7:C7"/>
    <mergeCell ref="A3:A8"/>
    <mergeCell ref="B3:C3"/>
    <mergeCell ref="J3:J6"/>
    <mergeCell ref="K3:L3"/>
    <mergeCell ref="B4:C4"/>
    <mergeCell ref="K4:L4"/>
    <mergeCell ref="B5:C5"/>
    <mergeCell ref="K5:L5"/>
    <mergeCell ref="J7:K7"/>
    <mergeCell ref="A32:O32"/>
    <mergeCell ref="A27:O27"/>
    <mergeCell ref="A29:O29"/>
    <mergeCell ref="A30:O30"/>
    <mergeCell ref="A31:O31"/>
    <mergeCell ref="A28:O28"/>
    <mergeCell ref="AD3:AO3"/>
    <mergeCell ref="B19:B20"/>
    <mergeCell ref="B23:B24"/>
    <mergeCell ref="B17:B18"/>
    <mergeCell ref="R4:AA5"/>
    <mergeCell ref="R6:AA7"/>
    <mergeCell ref="R8:AA9"/>
    <mergeCell ref="AD7:AO8"/>
    <mergeCell ref="AD4:AO6"/>
    <mergeCell ref="AD9:AO10"/>
  </mergeCells>
  <phoneticPr fontId="19" type="noConversion"/>
  <conditionalFormatting sqref="G4">
    <cfRule type="cellIs" dxfId="21" priority="13" operator="equal">
      <formula>FALSE</formula>
    </cfRule>
    <cfRule type="cellIs" dxfId="20" priority="19" operator="equal">
      <formula>TRUE</formula>
    </cfRule>
  </conditionalFormatting>
  <conditionalFormatting sqref="G5">
    <cfRule type="cellIs" dxfId="19" priority="11" operator="equal">
      <formula>FALSE</formula>
    </cfRule>
    <cfRule type="cellIs" dxfId="18" priority="12" operator="equal">
      <formula>TRUE</formula>
    </cfRule>
  </conditionalFormatting>
  <conditionalFormatting sqref="G11">
    <cfRule type="cellIs" dxfId="17" priority="9" operator="equal">
      <formula>FALSE</formula>
    </cfRule>
    <cfRule type="cellIs" dxfId="16" priority="10" operator="equal">
      <formula>TRUE</formula>
    </cfRule>
  </conditionalFormatting>
  <conditionalFormatting sqref="G13">
    <cfRule type="cellIs" dxfId="15" priority="7" operator="equal">
      <formula>FALSE</formula>
    </cfRule>
    <cfRule type="cellIs" dxfId="14" priority="8" operator="equal">
      <formula>TRUE</formula>
    </cfRule>
  </conditionalFormatting>
  <conditionalFormatting sqref="G15">
    <cfRule type="cellIs" dxfId="13" priority="5" operator="equal">
      <formula>FALSE</formula>
    </cfRule>
    <cfRule type="cellIs" dxfId="12" priority="6" operator="equal">
      <formula>TRUE</formula>
    </cfRule>
  </conditionalFormatting>
  <conditionalFormatting sqref="Q13">
    <cfRule type="cellIs" dxfId="11" priority="3" operator="equal">
      <formula>FALSE</formula>
    </cfRule>
    <cfRule type="cellIs" dxfId="10" priority="4" operator="equal">
      <formula>TRUE</formula>
    </cfRule>
  </conditionalFormatting>
  <conditionalFormatting sqref="H4:H22">
    <cfRule type="containsText" dxfId="9" priority="2" operator="containsText" text="verdadeiro">
      <formula>NOT(ISERROR(SEARCH("verdadeiro",H4)))</formula>
    </cfRule>
  </conditionalFormatting>
  <conditionalFormatting sqref="P4:P15">
    <cfRule type="cellIs" dxfId="8" priority="1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ignoredErrors>
    <ignoredError sqref="N5 N13 P13 P4:P6 E23" unlockedFormula="1"/>
    <ignoredError sqref="O12 F11:F22" formula="1"/>
    <ignoredError sqref="E11:E22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Orientações Iniciais</vt:lpstr>
      <vt:lpstr>Indicadores e Metas</vt:lpstr>
      <vt:lpstr>Quadro Geral</vt:lpstr>
      <vt:lpstr>Demonstrativo de Empenhos e Pag</vt:lpstr>
      <vt:lpstr>CC</vt:lpstr>
      <vt:lpstr>Fontes </vt:lpstr>
      <vt:lpstr>receitas</vt:lpstr>
      <vt:lpstr>Receitas 3</vt:lpstr>
      <vt:lpstr>Limites Estratégicos</vt:lpstr>
      <vt:lpstr>Validação de dados</vt:lpstr>
      <vt:lpstr>Diretrizes - Resumo</vt:lpstr>
      <vt:lpstr>Despesas</vt:lpstr>
      <vt:lpstr>Matriz de Obj. Estrat.</vt:lpstr>
      <vt:lpstr>Receitas 2</vt:lpstr>
      <vt:lpstr>'Fontes '!Area_de_impressao</vt:lpstr>
      <vt:lpstr>'Indicadores e Metas'!Area_de_impressao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caudf</cp:lastModifiedBy>
  <cp:lastPrinted>2019-08-16T19:30:06Z</cp:lastPrinted>
  <dcterms:created xsi:type="dcterms:W3CDTF">2013-07-30T15:20:59Z</dcterms:created>
  <dcterms:modified xsi:type="dcterms:W3CDTF">2022-09-20T17:01:47Z</dcterms:modified>
</cp:coreProperties>
</file>