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-120" yWindow="-120" windowWidth="20730" windowHeight="11160" tabRatio="884" activeTab="3"/>
  </bookViews>
  <sheets>
    <sheet name="Orientações Iniciais" sheetId="29" r:id="rId1"/>
    <sheet name="Matriz Objetivos x Projetos" sheetId="14" state="hidden" r:id="rId2"/>
    <sheet name="Indicadores e Metas1" sheetId="21" state="hidden" r:id="rId3"/>
    <sheet name="Indicadores e Metas" sheetId="30" r:id="rId4"/>
    <sheet name="Quadro Geral" sheetId="15" r:id="rId5"/>
    <sheet name="Demonstrativo" sheetId="31" state="hidden" r:id="rId6"/>
    <sheet name="Fontes" sheetId="8" r:id="rId7"/>
    <sheet name="Balanço Orç." sheetId="32" state="hidden" r:id="rId8"/>
    <sheet name="Limites Estratégicos" sheetId="23" r:id="rId9"/>
    <sheet name="Anexo_1.4_Dados" sheetId="1" state="hidden" r:id="rId10"/>
    <sheet name="Plan1" sheetId="27" state="hidden" r:id="rId11"/>
  </sheets>
  <externalReferences>
    <externalReference r:id="rId12"/>
    <externalReference r:id="rId13"/>
  </externalReferences>
  <definedNames>
    <definedName name="_xlnm._FilterDatabase" localSheetId="4" hidden="1">'Quadro Geral'!$A$9:$AI$24</definedName>
    <definedName name="A" localSheetId="1">#REF!</definedName>
    <definedName name="A" localSheetId="0">#REF!</definedName>
    <definedName name="A" localSheetId="4">#REF!</definedName>
    <definedName name="A">#REF!</definedName>
    <definedName name="_xlnm.Print_Area" localSheetId="9">Anexo_1.4_Dados!$B$1:$F$33</definedName>
    <definedName name="_xlnm.Print_Area" localSheetId="6">Fontes!$A$1:$F$28</definedName>
    <definedName name="_xlnm.Print_Area" localSheetId="2">'Indicadores e Metas1'!$A$1:$E$68</definedName>
    <definedName name="_xlnm.Print_Area" localSheetId="1">'Matriz Objetivos x Projetos'!$A$1:$W$24</definedName>
    <definedName name="_xlnm.Print_Area" localSheetId="4">'Quadro Geral'!$A$1:$J$26</definedName>
    <definedName name="_xlnm.Database" localSheetId="1">#REF!</definedName>
    <definedName name="_xlnm.Database" localSheetId="0">#REF!</definedName>
    <definedName name="_xlnm.Database" localSheetId="4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30" l="1"/>
  <c r="F22" i="30"/>
  <c r="F27" i="30"/>
  <c r="F56" i="30" l="1"/>
  <c r="F58" i="30"/>
  <c r="C16" i="8" l="1"/>
  <c r="C23" i="8"/>
  <c r="F65" i="30"/>
  <c r="F67" i="30"/>
  <c r="F69" i="30"/>
  <c r="R16" i="23" l="1"/>
  <c r="R8" i="23"/>
  <c r="R7" i="23"/>
  <c r="R14" i="23" s="1"/>
  <c r="I26" i="23"/>
  <c r="E26" i="23" s="1"/>
  <c r="I24" i="23"/>
  <c r="I22" i="23"/>
  <c r="I20" i="23"/>
  <c r="I18" i="23"/>
  <c r="I16" i="23"/>
  <c r="I14" i="23"/>
  <c r="I10" i="23"/>
  <c r="P8" i="23"/>
  <c r="Q8" i="23" s="1"/>
  <c r="P9" i="23"/>
  <c r="P14" i="23"/>
  <c r="P15" i="23"/>
  <c r="P16" i="23"/>
  <c r="M16" i="23" s="1"/>
  <c r="Q16" i="23" s="1"/>
  <c r="P17" i="23"/>
  <c r="P7" i="23"/>
  <c r="M7" i="23" s="1"/>
  <c r="Q7" i="23" s="1"/>
  <c r="G8" i="23"/>
  <c r="G9" i="23"/>
  <c r="G10" i="23"/>
  <c r="D10" i="23" s="1"/>
  <c r="H10" i="23" s="1"/>
  <c r="G11" i="23"/>
  <c r="G14" i="23"/>
  <c r="D14" i="23" s="1"/>
  <c r="H14" i="23" s="1"/>
  <c r="G15" i="23"/>
  <c r="G16" i="23"/>
  <c r="D16" i="23" s="1"/>
  <c r="H16" i="23" s="1"/>
  <c r="G17" i="23"/>
  <c r="G18" i="23"/>
  <c r="H18" i="23" s="1"/>
  <c r="G19" i="23"/>
  <c r="G20" i="23"/>
  <c r="D20" i="23" s="1"/>
  <c r="H20" i="23" s="1"/>
  <c r="G21" i="23"/>
  <c r="G22" i="23"/>
  <c r="G23" i="23"/>
  <c r="G24" i="23"/>
  <c r="H24" i="23" s="1"/>
  <c r="G25" i="23"/>
  <c r="G26" i="23"/>
  <c r="H26" i="23" s="1"/>
  <c r="G27" i="23"/>
  <c r="G7" i="23"/>
  <c r="I28" i="8"/>
  <c r="I20" i="8"/>
  <c r="J20" i="8" s="1"/>
  <c r="I13" i="8"/>
  <c r="I11" i="8"/>
  <c r="G12" i="8"/>
  <c r="G13" i="8"/>
  <c r="G14" i="8"/>
  <c r="G15" i="8"/>
  <c r="H15" i="8" s="1"/>
  <c r="G16" i="8"/>
  <c r="H16" i="8" s="1"/>
  <c r="G17" i="8"/>
  <c r="G18" i="8"/>
  <c r="H18" i="8" s="1"/>
  <c r="G19" i="8"/>
  <c r="H19" i="8" s="1"/>
  <c r="G20" i="8"/>
  <c r="H20" i="8" s="1"/>
  <c r="G21" i="8"/>
  <c r="H21" i="8" s="1"/>
  <c r="G22" i="8"/>
  <c r="H22" i="8" s="1"/>
  <c r="G23" i="8"/>
  <c r="H23" i="8" s="1"/>
  <c r="G24" i="8"/>
  <c r="H24" i="8" s="1"/>
  <c r="G25" i="8"/>
  <c r="G26" i="8"/>
  <c r="B26" i="8" s="1"/>
  <c r="H26" i="8" s="1"/>
  <c r="G27" i="8"/>
  <c r="H27" i="8" s="1"/>
  <c r="G28" i="8"/>
  <c r="G11" i="8"/>
  <c r="AB10" i="15"/>
  <c r="AC10" i="15" s="1"/>
  <c r="AB11" i="15"/>
  <c r="AC11" i="15" s="1"/>
  <c r="AB12" i="15"/>
  <c r="AC12" i="15" s="1"/>
  <c r="AB13" i="15"/>
  <c r="AC13" i="15" s="1"/>
  <c r="AB14" i="15"/>
  <c r="AC14" i="15" s="1"/>
  <c r="AB15" i="15"/>
  <c r="AC15" i="15" s="1"/>
  <c r="AB16" i="15"/>
  <c r="AC16" i="15" s="1"/>
  <c r="AB17" i="15"/>
  <c r="AC17" i="15" s="1"/>
  <c r="AB18" i="15"/>
  <c r="AC18" i="15" s="1"/>
  <c r="AB19" i="15"/>
  <c r="AC19" i="15" s="1"/>
  <c r="AB20" i="15"/>
  <c r="AC20" i="15" s="1"/>
  <c r="AB21" i="15"/>
  <c r="AC21" i="15" s="1"/>
  <c r="Y21" i="15"/>
  <c r="Y20" i="15"/>
  <c r="Y19" i="15"/>
  <c r="Y18" i="15"/>
  <c r="Y17" i="15"/>
  <c r="G17" i="15" s="1"/>
  <c r="Y16" i="15"/>
  <c r="G16" i="15" s="1"/>
  <c r="Y15" i="15"/>
  <c r="G15" i="15" s="1"/>
  <c r="AA15" i="15" s="1"/>
  <c r="Y14" i="15"/>
  <c r="Y13" i="15"/>
  <c r="Y10" i="15"/>
  <c r="Y12" i="15"/>
  <c r="Y11" i="15"/>
  <c r="U11" i="15"/>
  <c r="V11" i="15"/>
  <c r="X11" i="15" s="1"/>
  <c r="V12" i="15"/>
  <c r="F12" i="15" s="1"/>
  <c r="V13" i="15"/>
  <c r="F13" i="15" s="1"/>
  <c r="V14" i="15"/>
  <c r="F14" i="15" s="1"/>
  <c r="X14" i="15" s="1"/>
  <c r="V15" i="15"/>
  <c r="F15" i="15" s="1"/>
  <c r="X15" i="15" s="1"/>
  <c r="V16" i="15"/>
  <c r="F16" i="15" s="1"/>
  <c r="V17" i="15"/>
  <c r="F17" i="15" s="1"/>
  <c r="V18" i="15"/>
  <c r="X18" i="15" s="1"/>
  <c r="V19" i="15"/>
  <c r="F19" i="15" s="1"/>
  <c r="X19" i="15" s="1"/>
  <c r="V20" i="15"/>
  <c r="X20" i="15" s="1"/>
  <c r="V21" i="15"/>
  <c r="F21" i="15" s="1"/>
  <c r="V22" i="15"/>
  <c r="V10" i="15"/>
  <c r="F10" i="15" s="1"/>
  <c r="X10" i="15" s="1"/>
  <c r="R11" i="15"/>
  <c r="S11" i="15"/>
  <c r="T11" i="15"/>
  <c r="W11" i="15"/>
  <c r="R12" i="15"/>
  <c r="S12" i="15"/>
  <c r="T12" i="15"/>
  <c r="U12" i="15"/>
  <c r="R13" i="15"/>
  <c r="S13" i="15"/>
  <c r="T13" i="15"/>
  <c r="U13" i="15"/>
  <c r="R14" i="15"/>
  <c r="S14" i="15"/>
  <c r="T14" i="15"/>
  <c r="U14" i="15"/>
  <c r="R15" i="15"/>
  <c r="S15" i="15"/>
  <c r="T15" i="15"/>
  <c r="U15" i="15"/>
  <c r="R16" i="15"/>
  <c r="S16" i="15"/>
  <c r="T16" i="15"/>
  <c r="U16" i="15"/>
  <c r="R17" i="15"/>
  <c r="S17" i="15"/>
  <c r="T17" i="15"/>
  <c r="U17" i="15"/>
  <c r="R18" i="15"/>
  <c r="S18" i="15"/>
  <c r="T18" i="15"/>
  <c r="U18" i="15"/>
  <c r="W18" i="15"/>
  <c r="R19" i="15"/>
  <c r="S19" i="15"/>
  <c r="T19" i="15"/>
  <c r="U19" i="15"/>
  <c r="R20" i="15"/>
  <c r="S20" i="15"/>
  <c r="T20" i="15"/>
  <c r="U20" i="15"/>
  <c r="W20" i="15"/>
  <c r="R21" i="15"/>
  <c r="S21" i="15"/>
  <c r="T21" i="15"/>
  <c r="U21" i="15"/>
  <c r="U10" i="15"/>
  <c r="T10" i="15"/>
  <c r="S10" i="15"/>
  <c r="R10" i="15"/>
  <c r="R17" i="23" l="1"/>
  <c r="X21" i="15"/>
  <c r="W21" i="15"/>
  <c r="Z15" i="15"/>
  <c r="AB22" i="15"/>
  <c r="X16" i="15"/>
  <c r="W16" i="15"/>
  <c r="AA16" i="15"/>
  <c r="Z16" i="15"/>
  <c r="W12" i="15"/>
  <c r="X12" i="15"/>
  <c r="W17" i="15"/>
  <c r="X17" i="15"/>
  <c r="W13" i="15"/>
  <c r="X13" i="15"/>
  <c r="W15" i="15"/>
  <c r="Y22" i="15"/>
  <c r="W14" i="15"/>
  <c r="W10" i="15"/>
  <c r="Z17" i="15"/>
  <c r="AA17" i="15"/>
  <c r="W19" i="15"/>
  <c r="I27" i="15"/>
  <c r="P13" i="15" l="1"/>
  <c r="P12" i="15"/>
  <c r="C35" i="8"/>
  <c r="C34" i="8"/>
  <c r="C33" i="8"/>
  <c r="C32" i="8"/>
  <c r="C31" i="8"/>
  <c r="B34" i="8"/>
  <c r="B33" i="8"/>
  <c r="C30" i="8" l="1"/>
  <c r="D34" i="8"/>
  <c r="E34" i="8" s="1"/>
  <c r="D33" i="8"/>
  <c r="E33" i="8" s="1"/>
  <c r="E20" i="23"/>
  <c r="E22" i="23" s="1"/>
  <c r="E16" i="23"/>
  <c r="E14" i="23"/>
  <c r="D16" i="8"/>
  <c r="C21" i="8"/>
  <c r="D20" i="8"/>
  <c r="D18" i="8"/>
  <c r="D15" i="8"/>
  <c r="G21" i="15"/>
  <c r="G19" i="15"/>
  <c r="G18" i="15"/>
  <c r="K17" i="15"/>
  <c r="K16" i="15"/>
  <c r="K15" i="15"/>
  <c r="G14" i="15"/>
  <c r="G13" i="15"/>
  <c r="G12" i="15"/>
  <c r="G11" i="15"/>
  <c r="G20" i="15"/>
  <c r="G10" i="15"/>
  <c r="D22" i="23"/>
  <c r="H22" i="23" s="1"/>
  <c r="E56" i="30"/>
  <c r="E58" i="30"/>
  <c r="Z20" i="15" l="1"/>
  <c r="AA20" i="15"/>
  <c r="K10" i="15"/>
  <c r="AA10" i="15"/>
  <c r="Z10" i="15"/>
  <c r="Z13" i="15"/>
  <c r="AA13" i="15"/>
  <c r="K14" i="15"/>
  <c r="AA14" i="15"/>
  <c r="Z14" i="15"/>
  <c r="K18" i="15"/>
  <c r="AA18" i="15"/>
  <c r="Z18" i="15"/>
  <c r="Z12" i="15"/>
  <c r="AA12" i="15"/>
  <c r="K21" i="15"/>
  <c r="AA21" i="15"/>
  <c r="Z21" i="15"/>
  <c r="AA11" i="15"/>
  <c r="Z11" i="15"/>
  <c r="K19" i="15"/>
  <c r="AA19" i="15"/>
  <c r="Z19" i="15"/>
  <c r="K20" i="15"/>
  <c r="L10" i="15"/>
  <c r="B35" i="8"/>
  <c r="D35" i="8" s="1"/>
  <c r="E35" i="8" s="1"/>
  <c r="K11" i="15"/>
  <c r="B31" i="8"/>
  <c r="D31" i="8" s="1"/>
  <c r="E31" i="8" s="1"/>
  <c r="K12" i="15"/>
  <c r="O12" i="15"/>
  <c r="Q12" i="15" s="1"/>
  <c r="H27" i="15"/>
  <c r="B32" i="8"/>
  <c r="D32" i="8" s="1"/>
  <c r="E32" i="8" s="1"/>
  <c r="K13" i="15"/>
  <c r="O13" i="15"/>
  <c r="Q13" i="15" s="1"/>
  <c r="O16" i="23"/>
  <c r="O8" i="23"/>
  <c r="O7" i="23"/>
  <c r="G22" i="15"/>
  <c r="H22" i="15"/>
  <c r="AC22" i="15" s="1"/>
  <c r="F22" i="15"/>
  <c r="F14" i="23"/>
  <c r="F10" i="23"/>
  <c r="E8" i="23"/>
  <c r="C36" i="8"/>
  <c r="E18" i="8"/>
  <c r="E15" i="8"/>
  <c r="E16" i="8"/>
  <c r="D19" i="8"/>
  <c r="E19" i="8" s="1"/>
  <c r="E20" i="8"/>
  <c r="D21" i="8"/>
  <c r="E21" i="8" s="1"/>
  <c r="E22" i="8"/>
  <c r="D23" i="8"/>
  <c r="E23" i="8" s="1"/>
  <c r="D24" i="8"/>
  <c r="E24" i="8" s="1"/>
  <c r="D26" i="8"/>
  <c r="E26" i="8" s="1"/>
  <c r="D27" i="8"/>
  <c r="E27" i="8" s="1"/>
  <c r="I11" i="15"/>
  <c r="J11" i="15" s="1"/>
  <c r="I12" i="15"/>
  <c r="J12" i="15" s="1"/>
  <c r="I13" i="15"/>
  <c r="J13" i="15" s="1"/>
  <c r="I14" i="15"/>
  <c r="J14" i="15" s="1"/>
  <c r="I15" i="15"/>
  <c r="J15" i="15" s="1"/>
  <c r="I16" i="15"/>
  <c r="J16" i="15" s="1"/>
  <c r="I17" i="15"/>
  <c r="J17" i="15" s="1"/>
  <c r="I18" i="15"/>
  <c r="J18" i="15" s="1"/>
  <c r="I19" i="15"/>
  <c r="J19" i="15" s="1"/>
  <c r="I20" i="15"/>
  <c r="J20" i="15" s="1"/>
  <c r="I21" i="15"/>
  <c r="J21" i="15" s="1"/>
  <c r="I10" i="15"/>
  <c r="J10" i="15" s="1"/>
  <c r="Z22" i="15" l="1"/>
  <c r="AA22" i="15"/>
  <c r="E30" i="8"/>
  <c r="B30" i="8"/>
  <c r="B36" i="8" s="1"/>
  <c r="W22" i="15"/>
  <c r="X22" i="15"/>
  <c r="D30" i="8"/>
  <c r="D36" i="8" s="1"/>
  <c r="I29" i="15"/>
  <c r="J28" i="15"/>
  <c r="J30" i="15"/>
  <c r="K22" i="15"/>
  <c r="F26" i="23"/>
  <c r="F24" i="23"/>
  <c r="F22" i="23"/>
  <c r="F20" i="23"/>
  <c r="F18" i="23"/>
  <c r="F16" i="23"/>
  <c r="E36" i="8" l="1"/>
  <c r="A3" i="30"/>
  <c r="C25" i="8" l="1"/>
  <c r="C17" i="8"/>
  <c r="C14" i="8"/>
  <c r="C13" i="8" l="1"/>
  <c r="I22" i="15"/>
  <c r="J22" i="15" s="1"/>
  <c r="J13" i="8" l="1"/>
  <c r="K13" i="8"/>
  <c r="C12" i="8"/>
  <c r="I7" i="23" s="1"/>
  <c r="I9" i="23" s="1"/>
  <c r="I11" i="23" s="1"/>
  <c r="B14" i="8"/>
  <c r="D14" i="8" l="1"/>
  <c r="E14" i="8" s="1"/>
  <c r="H14" i="8"/>
  <c r="I21" i="23"/>
  <c r="I27" i="23"/>
  <c r="I19" i="23"/>
  <c r="I25" i="23"/>
  <c r="I17" i="23"/>
  <c r="I23" i="23"/>
  <c r="I15" i="23"/>
  <c r="E7" i="23"/>
  <c r="E9" i="23" s="1"/>
  <c r="E11" i="23" s="1"/>
  <c r="C11" i="8"/>
  <c r="M14" i="23"/>
  <c r="Q14" i="23" s="1"/>
  <c r="B25" i="8"/>
  <c r="B17" i="8"/>
  <c r="D17" i="8" l="1"/>
  <c r="E17" i="8" s="1"/>
  <c r="H17" i="8"/>
  <c r="F63" i="30"/>
  <c r="F61" i="30"/>
  <c r="R9" i="23"/>
  <c r="R15" i="23" s="1"/>
  <c r="J11" i="8"/>
  <c r="D25" i="8"/>
  <c r="E25" i="8" s="1"/>
  <c r="H25" i="8"/>
  <c r="N9" i="23"/>
  <c r="N18" i="23" s="1"/>
  <c r="C28" i="8"/>
  <c r="B13" i="8"/>
  <c r="H13" i="8" s="1"/>
  <c r="D8" i="23"/>
  <c r="F30" i="30" l="1"/>
  <c r="J28" i="8"/>
  <c r="F8" i="23"/>
  <c r="H8" i="23"/>
  <c r="F32" i="8"/>
  <c r="F35" i="8"/>
  <c r="F34" i="8"/>
  <c r="F31" i="8"/>
  <c r="F33" i="8"/>
  <c r="C38" i="8"/>
  <c r="F11" i="8"/>
  <c r="F36" i="8"/>
  <c r="C37" i="8"/>
  <c r="B12" i="8"/>
  <c r="D13" i="8"/>
  <c r="E13" i="8" s="1"/>
  <c r="F22" i="8"/>
  <c r="F27" i="8"/>
  <c r="F15" i="8"/>
  <c r="F23" i="8"/>
  <c r="F21" i="8"/>
  <c r="F16" i="8"/>
  <c r="F24" i="8"/>
  <c r="F26" i="8"/>
  <c r="F28" i="8"/>
  <c r="F18" i="8"/>
  <c r="F19" i="8"/>
  <c r="F20" i="8"/>
  <c r="F14" i="8"/>
  <c r="F17" i="8"/>
  <c r="F25" i="8"/>
  <c r="F13" i="8"/>
  <c r="F12" i="8"/>
  <c r="B11" i="8" l="1"/>
  <c r="H11" i="8" s="1"/>
  <c r="H12" i="8"/>
  <c r="M9" i="23"/>
  <c r="Q9" i="23" s="1"/>
  <c r="C40" i="8"/>
  <c r="F30" i="8"/>
  <c r="D7" i="23"/>
  <c r="H7" i="23" s="1"/>
  <c r="O9" i="23"/>
  <c r="D12" i="8"/>
  <c r="E12" i="8" s="1"/>
  <c r="D9" i="23" l="1"/>
  <c r="H9" i="23" s="1"/>
  <c r="F7" i="23"/>
  <c r="A5" i="15"/>
  <c r="A3" i="21"/>
  <c r="F10" i="14"/>
  <c r="E10" i="14"/>
  <c r="D10" i="14"/>
  <c r="D11" i="23" l="1"/>
  <c r="H11" i="23" s="1"/>
  <c r="F9" i="23"/>
  <c r="D11" i="8"/>
  <c r="E11" i="8" s="1"/>
  <c r="E12" i="14"/>
  <c r="E14" i="14"/>
  <c r="E16" i="14"/>
  <c r="E17" i="14"/>
  <c r="E20" i="14"/>
  <c r="E21" i="14"/>
  <c r="E11" i="14"/>
  <c r="E18" i="14"/>
  <c r="E19" i="14"/>
  <c r="E23" i="14"/>
  <c r="E13" i="14"/>
  <c r="E15" i="14"/>
  <c r="E22" i="14"/>
  <c r="E24" i="14"/>
  <c r="F12" i="14"/>
  <c r="F14" i="14"/>
  <c r="F16" i="14"/>
  <c r="F11" i="14"/>
  <c r="F13" i="14"/>
  <c r="F15" i="14"/>
  <c r="F17" i="14"/>
  <c r="F19" i="14"/>
  <c r="F21" i="14"/>
  <c r="F22" i="14"/>
  <c r="F23" i="14"/>
  <c r="F20" i="14"/>
  <c r="F18" i="14"/>
  <c r="F24" i="14"/>
  <c r="D11" i="14"/>
  <c r="D13" i="14"/>
  <c r="D15" i="14"/>
  <c r="D17" i="14"/>
  <c r="D12" i="14"/>
  <c r="D14" i="14"/>
  <c r="D16" i="14"/>
  <c r="D18" i="14"/>
  <c r="D20" i="14"/>
  <c r="D22" i="14"/>
  <c r="D19" i="14"/>
  <c r="D21" i="14"/>
  <c r="D23" i="14"/>
  <c r="D24" i="14"/>
  <c r="F11" i="23" l="1"/>
  <c r="D15" i="23"/>
  <c r="H15" i="23" s="1"/>
  <c r="B28" i="8"/>
  <c r="D25" i="14"/>
  <c r="F25" i="14"/>
  <c r="E25" i="14"/>
  <c r="C39" i="8" l="1"/>
  <c r="H28" i="8"/>
  <c r="D28" i="8"/>
  <c r="E28" i="8" s="1"/>
  <c r="B37" i="8"/>
  <c r="M17" i="23"/>
  <c r="Q17" i="23" s="1"/>
  <c r="Y11" i="14" l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/>
  <c r="Y23" i="14" s="1"/>
  <c r="Y24" i="14" s="1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C10" i="14"/>
  <c r="K11" i="14" l="1"/>
  <c r="K13" i="14"/>
  <c r="K15" i="14"/>
  <c r="K17" i="14"/>
  <c r="K21" i="14"/>
  <c r="K18" i="14"/>
  <c r="K12" i="14"/>
  <c r="K19" i="14"/>
  <c r="K20" i="14"/>
  <c r="K22" i="14"/>
  <c r="K24" i="14"/>
  <c r="K14" i="14"/>
  <c r="K16" i="14"/>
  <c r="K23" i="14"/>
  <c r="S11" i="14"/>
  <c r="S13" i="14"/>
  <c r="S15" i="14"/>
  <c r="S17" i="14"/>
  <c r="S14" i="14"/>
  <c r="S18" i="14"/>
  <c r="S21" i="14"/>
  <c r="S16" i="14"/>
  <c r="S22" i="14"/>
  <c r="S24" i="14"/>
  <c r="S12" i="14"/>
  <c r="S19" i="14"/>
  <c r="S20" i="14"/>
  <c r="S23" i="14"/>
  <c r="P11" i="14"/>
  <c r="P13" i="14"/>
  <c r="P15" i="14"/>
  <c r="P17" i="14"/>
  <c r="P12" i="14"/>
  <c r="P14" i="14"/>
  <c r="P16" i="14"/>
  <c r="P18" i="14"/>
  <c r="P20" i="14"/>
  <c r="P21" i="14"/>
  <c r="P19" i="14"/>
  <c r="P22" i="14"/>
  <c r="P23" i="14"/>
  <c r="P24" i="14"/>
  <c r="C11" i="14"/>
  <c r="C13" i="14"/>
  <c r="C15" i="14"/>
  <c r="C17" i="14"/>
  <c r="C14" i="14"/>
  <c r="C18" i="14"/>
  <c r="C21" i="14"/>
  <c r="C16" i="14"/>
  <c r="C24" i="14"/>
  <c r="C22" i="14"/>
  <c r="C12" i="14"/>
  <c r="C19" i="14"/>
  <c r="C20" i="14"/>
  <c r="C23" i="14"/>
  <c r="J12" i="14"/>
  <c r="J14" i="14"/>
  <c r="J16" i="14"/>
  <c r="J11" i="14"/>
  <c r="J13" i="14"/>
  <c r="J15" i="14"/>
  <c r="J17" i="14"/>
  <c r="J19" i="14"/>
  <c r="J21" i="14"/>
  <c r="J20" i="14"/>
  <c r="J22" i="14"/>
  <c r="J24" i="14"/>
  <c r="J18" i="14"/>
  <c r="J23" i="14"/>
  <c r="N12" i="14"/>
  <c r="N14" i="14"/>
  <c r="N16" i="14"/>
  <c r="N11" i="14"/>
  <c r="N13" i="14"/>
  <c r="N15" i="14"/>
  <c r="N17" i="14"/>
  <c r="N19" i="14"/>
  <c r="N21" i="14"/>
  <c r="N18" i="14"/>
  <c r="N20" i="14"/>
  <c r="N22" i="14"/>
  <c r="N24" i="14"/>
  <c r="N23" i="14"/>
  <c r="R12" i="14"/>
  <c r="R14" i="14"/>
  <c r="R16" i="14"/>
  <c r="R11" i="14"/>
  <c r="R13" i="14"/>
  <c r="R15" i="14"/>
  <c r="R17" i="14"/>
  <c r="R19" i="14"/>
  <c r="R21" i="14"/>
  <c r="R22" i="14"/>
  <c r="R24" i="14"/>
  <c r="R18" i="14"/>
  <c r="R20" i="14"/>
  <c r="R23" i="14"/>
  <c r="V12" i="14"/>
  <c r="V14" i="14"/>
  <c r="V16" i="14"/>
  <c r="V11" i="14"/>
  <c r="V13" i="14"/>
  <c r="V15" i="14"/>
  <c r="V17" i="14"/>
  <c r="V19" i="14"/>
  <c r="V21" i="14"/>
  <c r="V20" i="14"/>
  <c r="V18" i="14"/>
  <c r="V22" i="14"/>
  <c r="V24" i="14"/>
  <c r="V23" i="14"/>
  <c r="G11" i="14"/>
  <c r="G13" i="14"/>
  <c r="G15" i="14"/>
  <c r="G17" i="14"/>
  <c r="G12" i="14"/>
  <c r="G14" i="14"/>
  <c r="G21" i="14"/>
  <c r="G22" i="14"/>
  <c r="G24" i="14"/>
  <c r="G16" i="14"/>
  <c r="G19" i="14"/>
  <c r="G20" i="14"/>
  <c r="G18" i="14"/>
  <c r="G23" i="14"/>
  <c r="O11" i="14"/>
  <c r="O13" i="14"/>
  <c r="O15" i="14"/>
  <c r="O17" i="14"/>
  <c r="O16" i="14"/>
  <c r="O19" i="14"/>
  <c r="O20" i="14"/>
  <c r="O18" i="14"/>
  <c r="O22" i="14"/>
  <c r="O24" i="14"/>
  <c r="O12" i="14"/>
  <c r="O14" i="14"/>
  <c r="O21" i="14"/>
  <c r="O23" i="14"/>
  <c r="W11" i="14"/>
  <c r="W13" i="14"/>
  <c r="W15" i="14"/>
  <c r="W17" i="14"/>
  <c r="W12" i="14"/>
  <c r="W19" i="14"/>
  <c r="W14" i="14"/>
  <c r="W21" i="14"/>
  <c r="W22" i="14"/>
  <c r="W24" i="14"/>
  <c r="W16" i="14"/>
  <c r="W20" i="14"/>
  <c r="W18" i="14"/>
  <c r="W23" i="14"/>
  <c r="H11" i="14"/>
  <c r="H13" i="14"/>
  <c r="H15" i="14"/>
  <c r="H17" i="14"/>
  <c r="H12" i="14"/>
  <c r="H14" i="14"/>
  <c r="H16" i="14"/>
  <c r="H18" i="14"/>
  <c r="H20" i="14"/>
  <c r="H23" i="14"/>
  <c r="H22" i="14"/>
  <c r="H19" i="14"/>
  <c r="H21" i="14"/>
  <c r="H24" i="14"/>
  <c r="L11" i="14"/>
  <c r="L13" i="14"/>
  <c r="L15" i="14"/>
  <c r="L17" i="14"/>
  <c r="L12" i="14"/>
  <c r="L14" i="14"/>
  <c r="L16" i="14"/>
  <c r="L18" i="14"/>
  <c r="L20" i="14"/>
  <c r="L21" i="14"/>
  <c r="L23" i="14"/>
  <c r="L19" i="14"/>
  <c r="L22" i="14"/>
  <c r="L24" i="14"/>
  <c r="T11" i="14"/>
  <c r="T13" i="14"/>
  <c r="T15" i="14"/>
  <c r="T17" i="14"/>
  <c r="T12" i="14"/>
  <c r="T14" i="14"/>
  <c r="T16" i="14"/>
  <c r="T18" i="14"/>
  <c r="T20" i="14"/>
  <c r="T19" i="14"/>
  <c r="T23" i="14"/>
  <c r="T22" i="14"/>
  <c r="T21" i="14"/>
  <c r="T24" i="14"/>
  <c r="I12" i="14"/>
  <c r="I14" i="14"/>
  <c r="I16" i="14"/>
  <c r="I15" i="14"/>
  <c r="I18" i="14"/>
  <c r="I19" i="14"/>
  <c r="I17" i="14"/>
  <c r="I23" i="14"/>
  <c r="I11" i="14"/>
  <c r="I13" i="14"/>
  <c r="I20" i="14"/>
  <c r="I21" i="14"/>
  <c r="I22" i="14"/>
  <c r="I24" i="14"/>
  <c r="M12" i="14"/>
  <c r="M14" i="14"/>
  <c r="M16" i="14"/>
  <c r="M13" i="14"/>
  <c r="M20" i="14"/>
  <c r="M15" i="14"/>
  <c r="M23" i="14"/>
  <c r="M17" i="14"/>
  <c r="M21" i="14"/>
  <c r="M11" i="14"/>
  <c r="M18" i="14"/>
  <c r="M19" i="14"/>
  <c r="M22" i="14"/>
  <c r="M24" i="14"/>
  <c r="Q12" i="14"/>
  <c r="Q14" i="14"/>
  <c r="Q16" i="14"/>
  <c r="Q11" i="14"/>
  <c r="Q13" i="14"/>
  <c r="Q20" i="14"/>
  <c r="Q21" i="14"/>
  <c r="Q23" i="14"/>
  <c r="Q15" i="14"/>
  <c r="Q18" i="14"/>
  <c r="Q19" i="14"/>
  <c r="Q17" i="14"/>
  <c r="Q22" i="14"/>
  <c r="Q24" i="14"/>
  <c r="U12" i="14"/>
  <c r="U14" i="14"/>
  <c r="U16" i="14"/>
  <c r="U17" i="14"/>
  <c r="U20" i="14"/>
  <c r="U21" i="14"/>
  <c r="U11" i="14"/>
  <c r="U18" i="14"/>
  <c r="U19" i="14"/>
  <c r="U23" i="14"/>
  <c r="U13" i="14"/>
  <c r="U15" i="14"/>
  <c r="U22" i="14"/>
  <c r="U24" i="14"/>
  <c r="U25" i="14" l="1"/>
  <c r="W25" i="14"/>
  <c r="I25" i="14"/>
  <c r="R25" i="14"/>
  <c r="J25" i="14"/>
  <c r="V25" i="14"/>
  <c r="Q25" i="14"/>
  <c r="H25" i="14"/>
  <c r="O25" i="14"/>
  <c r="S25" i="14"/>
  <c r="M25" i="14"/>
  <c r="T25" i="14"/>
  <c r="L25" i="14"/>
  <c r="G25" i="14"/>
  <c r="N25" i="14"/>
  <c r="P25" i="14"/>
  <c r="K25" i="14"/>
  <c r="E21" i="23" l="1"/>
  <c r="E27" i="23"/>
  <c r="E19" i="23"/>
  <c r="E25" i="23"/>
  <c r="E17" i="23"/>
  <c r="E23" i="23"/>
  <c r="E15" i="23"/>
  <c r="X13" i="14" l="1"/>
  <c r="X16" i="14"/>
  <c r="X21" i="14"/>
  <c r="X18" i="14"/>
  <c r="X12" i="14"/>
  <c r="X22" i="14"/>
  <c r="X24" i="14"/>
  <c r="X19" i="14"/>
  <c r="X14" i="14"/>
  <c r="X20" i="14"/>
  <c r="X11" i="14"/>
  <c r="X23" i="14"/>
  <c r="X15" i="14"/>
  <c r="X17" i="14"/>
  <c r="C25" i="14"/>
  <c r="M15" i="23" l="1"/>
  <c r="Q15" i="23" s="1"/>
  <c r="N14" i="23" l="1"/>
  <c r="O14" i="23" s="1"/>
  <c r="N17" i="23"/>
  <c r="O17" i="23" s="1"/>
  <c r="F15" i="23"/>
  <c r="N15" i="23" l="1"/>
  <c r="O15" i="23" s="1"/>
  <c r="D27" i="23"/>
  <c r="D19" i="23"/>
  <c r="D17" i="23"/>
  <c r="D21" i="23"/>
  <c r="D25" i="23"/>
  <c r="D23" i="23"/>
  <c r="F17" i="23" l="1"/>
  <c r="H17" i="23"/>
  <c r="F23" i="23"/>
  <c r="H23" i="23"/>
  <c r="F19" i="23"/>
  <c r="H19" i="23"/>
  <c r="F27" i="23"/>
  <c r="H27" i="23"/>
  <c r="F25" i="23"/>
  <c r="H25" i="23"/>
  <c r="F21" i="23"/>
  <c r="H21" i="23"/>
</calcChain>
</file>

<file path=xl/comments1.xml><?xml version="1.0" encoding="utf-8"?>
<comments xmlns="http://schemas.openxmlformats.org/spreadsheetml/2006/main">
  <authors>
    <author>Tania Mara Chaves Daldegan</author>
  </authors>
  <commentList>
    <comment ref="D8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1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24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1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35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2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6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49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2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58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0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4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  <comment ref="D66" authorId="0">
      <text>
        <r>
          <rPr>
            <b/>
            <sz val="9"/>
            <color indexed="81"/>
            <rFont val="Segoe UI"/>
            <family val="2"/>
          </rPr>
          <t>Meta da Programação</t>
        </r>
      </text>
    </comment>
  </commentList>
</comments>
</file>

<file path=xl/comments2.xml><?xml version="1.0" encoding="utf-8"?>
<comments xmlns="http://schemas.openxmlformats.org/spreadsheetml/2006/main">
  <authors>
    <author>Tania Mara Chaves Daldegan</author>
  </authors>
  <commentList>
    <comment ref="E7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11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24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29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34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39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44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50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55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60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71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74" authorId="0">
      <text>
        <r>
          <rPr>
            <b/>
            <sz val="11"/>
            <color indexed="81"/>
            <rFont val="Calibri"/>
            <family val="2"/>
            <scheme val="minor"/>
          </rPr>
          <t xml:space="preserve">Meta do último valor </t>
        </r>
        <r>
          <rPr>
            <b/>
            <sz val="11"/>
            <color indexed="53"/>
            <rFont val="Calibri"/>
            <family val="2"/>
            <scheme val="minor"/>
          </rPr>
          <t>APROVADO</t>
        </r>
        <r>
          <rPr>
            <b/>
            <sz val="11"/>
            <color indexed="81"/>
            <rFont val="Calibri"/>
            <family val="2"/>
            <scheme val="minor"/>
          </rPr>
          <t xml:space="preserve"> no Plano de Ação do exercício de 2019.</t>
        </r>
      </text>
    </comment>
    <comment ref="E77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  <comment ref="E80" authorId="0">
      <text>
        <r>
          <rPr>
            <b/>
            <sz val="11"/>
            <color indexed="81"/>
            <rFont val="Calibri"/>
            <family val="2"/>
            <scheme val="minor"/>
          </rPr>
          <t>usar o último valor APROVADO no parecer do Plano de Ação do Exercício de 2019.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Tania Mara Chaves Daldegan</author>
    <author>Fabiana Pereira Siqueira</author>
    <author>Marcos Cristino</author>
    <author>Patrícia Monteiro</author>
  </authors>
  <commentList>
    <comment ref="A8" author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</text>
    </comment>
    <comment ref="B8" authorId="0">
      <text>
        <r>
          <rPr>
            <b/>
            <sz val="12"/>
            <color indexed="81"/>
            <rFont val="Tahoma"/>
            <family val="2"/>
          </rPr>
          <t>P = Projeto                       
A = Atividade
PE= Projeto Específico</t>
        </r>
      </text>
    </comment>
    <comment ref="C8" authorId="0">
      <text>
        <r>
          <rPr>
            <b/>
            <sz val="12"/>
            <color indexed="81"/>
            <rFont val="Tahoma"/>
            <family val="2"/>
          </rPr>
          <t>Nome do Projeto ou Atividade conforme o previsto no último parecer aprovado do Plano de Ação do Exercício de 2019.</t>
        </r>
      </text>
    </comment>
    <comment ref="D8" authorId="0">
      <text>
        <r>
          <rPr>
            <b/>
            <sz val="12"/>
            <color indexed="81"/>
            <rFont val="Tahoma"/>
            <family val="2"/>
          </rPr>
          <t>Objetivo Estratégico conforme o previsto no último parecer aprovado do Plano de Ação do Exercício de 2019.</t>
        </r>
      </text>
    </comment>
    <comment ref="E8" authorId="1">
      <text>
        <r>
          <rPr>
            <b/>
            <sz val="12"/>
            <color indexed="81"/>
            <rFont val="Calibri"/>
            <family val="2"/>
            <scheme val="minor"/>
          </rPr>
          <t>Resultado onforme o previsto no último parecer aprovado do Plano de Ação do Exercício de 2019.</t>
        </r>
      </text>
    </comment>
    <comment ref="F8" authorId="2">
      <text>
        <r>
          <rPr>
            <b/>
            <sz val="12"/>
            <color indexed="81"/>
            <rFont val="Calibri"/>
            <family val="2"/>
            <scheme val="minor"/>
          </rPr>
          <t>usar o último valor APROVADO no parecer do Plano de Ação do Exercício de 2019, sem transposição.</t>
        </r>
      </text>
    </comment>
    <comment ref="G8" authorId="1">
      <text>
        <r>
          <rPr>
            <b/>
            <sz val="11"/>
            <color indexed="81"/>
            <rFont val="Calibri Light"/>
            <family val="2"/>
            <scheme val="major"/>
          </rPr>
          <t>retirar do SISCONT. NET, no caminho "Centro de Custos&gt; Relatórios&gt; Demonstrativo de empenhos/pagamentos"; período de  01/01/2019 até 31/12/2019; na coluna ORÇADO.</t>
        </r>
      </text>
    </comment>
    <comment ref="H8" authorId="2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01/01/2019 até 31/12/2019; na coluna do EMPENHOS.</t>
        </r>
      </text>
    </comment>
    <comment ref="F10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E11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</t>
        </r>
      </text>
    </comment>
    <comment ref="C12" authorId="4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2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
</t>
        </r>
      </text>
    </comment>
    <comment ref="E13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</t>
        </r>
      </text>
    </comment>
    <comment ref="F13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4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5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G15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6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G16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</t>
        </r>
      </text>
    </comment>
    <comment ref="F17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G17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9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21" authorId="3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  <author>Fabiana Pereira Siqueira</author>
    <author>Marcos Cristino</author>
    <author>Flavia Rios Costa</author>
  </authors>
  <commentList>
    <comment ref="B8" authorId="0">
      <text>
        <r>
          <rPr>
            <b/>
            <sz val="12"/>
            <color indexed="81"/>
            <rFont val="Calibri Light"/>
            <family val="2"/>
            <scheme val="major"/>
          </rPr>
          <t>usar o último valor APROVADO no parecer do Plano de Ação do Exercício de 2019, sem transposição.</t>
        </r>
      </text>
    </comment>
    <comment ref="C8" authorId="1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01/01/2019 até 31/12/2019; na coluna das RECEITAS REALIZADAS.</t>
        </r>
      </text>
    </comment>
    <comment ref="K13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Dívida ativa</t>
        </r>
      </text>
    </comment>
    <comment ref="A14" authorId="3">
      <text>
        <r>
          <rPr>
            <b/>
            <sz val="12"/>
            <color indexed="81"/>
            <rFont val="Calibri"/>
            <family val="2"/>
            <scheme val="minor"/>
          </rPr>
          <t>Somar os valores do exercício atual e exercícios anteriores.</t>
        </r>
      </text>
    </comment>
    <comment ref="A17" authorId="3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A21" authorId="3">
      <text>
        <r>
          <rPr>
            <b/>
            <sz val="12"/>
            <color indexed="81"/>
            <rFont val="Calibri"/>
            <family val="2"/>
            <scheme val="minor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</text>
    </comment>
    <comment ref="B26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</commentList>
</comments>
</file>

<file path=xl/comments5.xml><?xml version="1.0" encoding="utf-8"?>
<comments xmlns="http://schemas.openxmlformats.org/spreadsheetml/2006/main">
  <authors>
    <author>Fabiana Pereira Siqueira</author>
    <author>Gustavo Milhomem Brito Menezes</author>
    <author>Marcos Cristino</author>
    <author>Tania Mara Chaves Daldegan</author>
  </authors>
  <commentList>
    <comment ref="D6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2019, sem transposição.
</t>
        </r>
      </text>
    </comment>
    <comment ref="E6" author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01/01/2019 até 31/12/2019; na coluna das RECEITAS REALIZADAS.</t>
        </r>
      </text>
    </comment>
    <comment ref="M6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2019, sem transposição.
</t>
        </r>
      </text>
    </comment>
    <comment ref="N6" author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01/01/2019 até 31/12/2019; na coluna do EMPENHOS.</t>
        </r>
      </text>
    </comment>
    <comment ref="B7" authorId="1">
      <text>
        <r>
          <rPr>
            <b/>
            <sz val="11"/>
            <color indexed="81"/>
            <rFont val="Calibri"/>
            <family val="2"/>
            <scheme val="minor"/>
          </rPr>
          <t>Receita do Exercício, não considerar as receitas dos exercícios anteriores.</t>
        </r>
      </text>
    </comment>
    <comment ref="M7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B8" authorId="1">
      <text>
        <r>
          <rPr>
            <b/>
            <sz val="10"/>
            <color indexed="81"/>
            <rFont val="Calibri"/>
            <family val="2"/>
            <scheme val="minor"/>
          </rPr>
          <t>Apenas para os Cau Básicos. O valor total deve ser igual do que consta nas Diretrizes da Programação 2019.</t>
        </r>
      </text>
    </comment>
    <comment ref="N8" authorId="3">
      <text>
        <r>
          <rPr>
            <b/>
            <sz val="11"/>
            <color indexed="81"/>
            <rFont val="Calibri"/>
            <family val="2"/>
            <scheme val="minor"/>
          </rPr>
          <t>retirar do SISCONT. NET, no caminho:  "Contabilidade&gt; Relatórios&gt; Balanço Orçamentário"; período de 01/01/2019 até 31/12/2019; na coluna das  DESPESAS EMPENHADAS. O valor é o resultado: "Pessoal e Encargos - Benefícios a pessoal- Rescisões contratuais".</t>
        </r>
      </text>
    </comment>
    <comment ref="B9" authorId="1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D10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 - OK</t>
        </r>
      </text>
    </comment>
    <comment ref="B11" authorId="1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3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2019, sem transposição.
</t>
        </r>
      </text>
    </comment>
    <comment ref="E13" author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01/01/2019 até 31/12/2019; na coluna do EMPENHOS.</t>
        </r>
      </text>
    </comment>
    <comment ref="M13" authorId="0">
      <text>
        <r>
          <rPr>
            <b/>
            <sz val="12"/>
            <color indexed="81"/>
            <rFont val="Calibri"/>
            <family val="2"/>
            <scheme val="minor"/>
          </rPr>
          <t xml:space="preserve">usar o último valor APROVADO no parecer do Plano de Ação do Exercício de 2019, sem transposição.
</t>
        </r>
      </text>
    </comment>
    <comment ref="N13" authorId="0">
      <text>
        <r>
          <rPr>
            <b/>
            <sz val="12"/>
            <color indexed="81"/>
            <rFont val="Calibri"/>
            <family val="2"/>
            <scheme val="minor"/>
          </rPr>
          <t>retirar do SISCONT. NET, no caminho: "Centro de Custos&gt; Relatórios&gt; Demonstrativo de empenhos/pagamentos- período de: 01/01/2019 até 31/12/2019; na coluna do EMPENHOS.</t>
        </r>
      </text>
    </comment>
    <comment ref="D14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4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O14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15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O15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D16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F16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M16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</t>
        </r>
      </text>
    </comment>
    <comment ref="O16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17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O17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F18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19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D20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</t>
        </r>
      </text>
    </comment>
    <comment ref="F20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21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F22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23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F24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25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  <comment ref="E26" authorId="2">
      <text>
        <r>
          <rPr>
            <b/>
            <sz val="9"/>
            <color indexed="81"/>
            <rFont val="Segoe UI"/>
            <family val="2"/>
          </rPr>
          <t>Marcos Cristino:</t>
        </r>
        <r>
          <rPr>
            <sz val="9"/>
            <color indexed="81"/>
            <rFont val="Segoe UI"/>
            <family val="2"/>
          </rPr>
          <t xml:space="preserve">
Ajustado
VALIDAR - OK
O valor da Reserva de Contingência é transposto para outras iniciativas e lá ele é executado, não há execução na Reserva de Contingência</t>
        </r>
      </text>
    </comment>
    <comment ref="F26" authorId="3">
      <text>
        <r>
          <rPr>
            <b/>
            <sz val="12"/>
            <color indexed="81"/>
            <rFont val="Calibri"/>
            <family val="2"/>
            <scheme val="minor"/>
          </rPr>
          <t>É percentual (%)</t>
        </r>
      </text>
    </comment>
    <comment ref="F27" authorId="3">
      <text>
        <r>
          <rPr>
            <b/>
            <sz val="12"/>
            <color indexed="81"/>
            <rFont val="Calibri"/>
            <family val="2"/>
            <scheme val="minor"/>
          </rPr>
          <t>É ponto percentual (pp)</t>
        </r>
      </text>
    </comment>
  </commentList>
</comments>
</file>

<file path=xl/sharedStrings.xml><?xml version="1.0" encoding="utf-8"?>
<sst xmlns="http://schemas.openxmlformats.org/spreadsheetml/2006/main" count="670" uniqueCount="401">
  <si>
    <r>
      <t xml:space="preserve">Orientações para preenchimento da </t>
    </r>
    <r>
      <rPr>
        <b/>
        <i/>
        <u/>
        <sz val="11"/>
        <color rgb="FFFF0000"/>
        <rFont val="Calibri"/>
        <family val="2"/>
        <scheme val="minor"/>
      </rPr>
      <t>planilha auxiliar</t>
    </r>
    <r>
      <rPr>
        <b/>
        <i/>
        <sz val="11"/>
        <color theme="1"/>
        <rFont val="Calibri"/>
        <family val="2"/>
        <scheme val="minor"/>
      </rPr>
      <t xml:space="preserve"> do Relatório de Gestão - Exercício 2019</t>
    </r>
  </si>
  <si>
    <r>
      <t>1) O valor da "Programação 2019 ": usar o último valor</t>
    </r>
    <r>
      <rPr>
        <b/>
        <i/>
        <sz val="11"/>
        <color rgb="FFFF0000"/>
        <rFont val="Calibri"/>
        <family val="2"/>
        <scheme val="minor"/>
      </rPr>
      <t xml:space="preserve"> </t>
    </r>
    <r>
      <rPr>
        <b/>
        <i/>
        <u/>
        <sz val="11"/>
        <color rgb="FFFF0000"/>
        <rFont val="Calibri"/>
        <family val="2"/>
        <scheme val="minor"/>
      </rPr>
      <t>APROVADO</t>
    </r>
    <r>
      <rPr>
        <b/>
        <i/>
        <sz val="11"/>
        <color theme="1"/>
        <rFont val="Calibri"/>
        <family val="2"/>
        <scheme val="minor"/>
      </rPr>
      <t xml:space="preserve"> no parecer do Plano de Ação do Exercício de 2019, sem transposição.</t>
    </r>
  </si>
  <si>
    <r>
      <t xml:space="preserve">2) O valor do "Programação  com Transposição (Orçado) 2019": retirar do SISCONT. NET, no caminho "Centro de Custos&gt; Relatórios&gt; Demonstrativo de empenhos/pagamentos"; período de  01/01/2019 até 31/12/2019; na coluna </t>
    </r>
    <r>
      <rPr>
        <b/>
        <i/>
        <u/>
        <sz val="11"/>
        <color rgb="FFFF0000"/>
        <rFont val="Calibri"/>
        <family val="2"/>
        <scheme val="minor"/>
      </rPr>
      <t>ORÇADO.</t>
    </r>
  </si>
  <si>
    <r>
      <t xml:space="preserve">3) O valor do "Executado 2019": retirar do SISCONT. NET, no caminho "Centro de Custos&gt; Relatórios&gt; Demonstrativo de empenhos/pagamentos"; período de  01/01/2019 até 31/12/2019; na coluna </t>
    </r>
    <r>
      <rPr>
        <b/>
        <i/>
        <u/>
        <sz val="11"/>
        <color rgb="FFFF0000"/>
        <rFont val="Calibri"/>
        <family val="2"/>
        <scheme val="minor"/>
      </rPr>
      <t>EMPENHO.</t>
    </r>
  </si>
  <si>
    <r>
      <t xml:space="preserve">4) O valor das "Receitas realizadas 2019": retirar do SISCONT. NET, no caminho:  "Contabilidade&gt; Relatórios&gt; Balanço Orçamentário"; período de 01/01/2019 até 31/12/2019; na coluna </t>
    </r>
    <r>
      <rPr>
        <b/>
        <i/>
        <u/>
        <sz val="11"/>
        <color rgb="FFFF0000"/>
        <rFont val="Calibri"/>
        <family val="2"/>
        <scheme val="minor"/>
      </rPr>
      <t>RECEITAS REALIZADAS.</t>
    </r>
  </si>
  <si>
    <t>5) Observar os comentários e as orientações em amarelo em cada aba da Planilha .</t>
  </si>
  <si>
    <t>6) Usar o último arquivo do Parecer homologado pelo Plenárío do CAU/BR e enviado pela GERPLAN (antiga ASSPLAN) em  2019.</t>
  </si>
  <si>
    <t>Orientação:  Esta planilha está vinculada ao Quadro Geral. Seu preenchimento ocorre de forma automática. Caso seja necessário aumentar o número de colunas, favor atentar na continuidade das fórmulas.</t>
  </si>
  <si>
    <t xml:space="preserve">CAU/UF:  </t>
  </si>
  <si>
    <t>Matriz Objetivos Estratégicos X Projetos</t>
  </si>
  <si>
    <t>Perspectivas</t>
  </si>
  <si>
    <t xml:space="preserve">                               
                                                    Projetos
                                                Estratégicos
   Objetivos
Estratégicos</t>
  </si>
  <si>
    <t>Processos Internos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</si>
  <si>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</si>
  <si>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</si>
  <si>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</si>
  <si>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</si>
  <si>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</si>
  <si>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</si>
  <si>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</si>
  <si>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</si>
  <si>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</si>
  <si>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</si>
  <si>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</si>
  <si>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Pessoas e Infraestrutura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</si>
  <si>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</si>
  <si>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</si>
  <si>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</si>
  <si>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Obs.: Os Indicadores devem ser vinculados aos objetivos estratégicos priorizados no Mapa Estratégico do CAU/UF, ou seja, os indicadores dos objetivos estratégicos escolhidos no Mapa Estratégico devem ser priorizados.</t>
  </si>
  <si>
    <t>Indicadores Institucionais e de Resultado (agrupados por objetivo estratégico) - Metas</t>
  </si>
  <si>
    <t>A- INDICADORES INSTITUCIONAIS</t>
  </si>
  <si>
    <t>Impactar significativamente o planejamento e a gestão do território</t>
  </si>
  <si>
    <t xml:space="preserve">Fórmula </t>
  </si>
  <si>
    <t xml:space="preserve">Periodicidade </t>
  </si>
  <si>
    <t>Meta 2019</t>
  </si>
  <si>
    <t>Meta 2019 - Revisada</t>
  </si>
  <si>
    <t xml:space="preserve"> Índice de municípios que possuem Plano Diretor, em conformidade com os critérios da legislação</t>
  </si>
  <si>
    <t>B- INDICADORES DE RESULTADO</t>
  </si>
  <si>
    <t>Assegurar a eficácia no atendimento e no relacionamento com os arquitetos e urbanistas e a sociedade</t>
  </si>
  <si>
    <t>Meta 2018</t>
  </si>
  <si>
    <t>Índice de aproveitamento das manifestações técnicas do CAU no MEC (CAU BR)</t>
  </si>
  <si>
    <t>número de manifestações técnicas aproveitadas pelo 
MEC
           _________________________   x 100
número de manifestações técnicas apresentadas pelo 
CAU ao MEC</t>
  </si>
  <si>
    <t>Trimestal</t>
  </si>
  <si>
    <t>Índice de aprovação das Diretrizes Curriculares Nacionais (DCN) propostas pelo CAU ao Conselho Nacional de Ensino (CNE) (CAU BR)</t>
  </si>
  <si>
    <t>número de propostas de DCN aprovadas pelo 
CNE
           _________________________   x 100
número de propostas de DCN apresentadas pelo CAU 
ao CNE</t>
  </si>
  <si>
    <t>Garantir a participação dos arquitetos e urbanistas no planejamento territorial e na gestão urbana</t>
  </si>
  <si>
    <t>Estimular a produção da arquitetura e urbanismo como política de Estado</t>
  </si>
  <si>
    <t>Obs.: Solicitamos incluir as bases de cálculo utilizadas para as metas alcançadas.</t>
  </si>
  <si>
    <t>Indicadores Institucionais e de Resultado (agrupados por objetivo estratégico) - Relatório de Gestão - Exercício 2019</t>
  </si>
  <si>
    <t>Meta 2019 - Alcançada</t>
  </si>
  <si>
    <r>
      <t xml:space="preserve">Índice de municípios que possuem Plano Diretor, em conformidade com os critérios da legislação - </t>
    </r>
    <r>
      <rPr>
        <b/>
        <sz val="20"/>
        <rFont val="Calibri"/>
        <family val="2"/>
        <scheme val="minor"/>
      </rPr>
      <t xml:space="preserve">(CAU/UF)
</t>
    </r>
  </si>
  <si>
    <t xml:space="preserve">número de municípios do Estado que possuem instrumentos de planejamento urbano </t>
  </si>
  <si>
    <t>x 100</t>
  </si>
  <si>
    <t>Anual</t>
  </si>
  <si>
    <t>total de municípios do Estado</t>
  </si>
  <si>
    <r>
      <t xml:space="preserve">Índice da capacidade de fiscalização (%) - </t>
    </r>
    <r>
      <rPr>
        <b/>
        <sz val="20"/>
        <rFont val="Calibri"/>
        <family val="2"/>
        <scheme val="minor"/>
      </rPr>
      <t xml:space="preserve">(CAU/UF)   </t>
    </r>
  </si>
  <si>
    <t>quantidade de serviços fiscalizados pelo CAU/UF no Ano</t>
  </si>
  <si>
    <t>Trimestral</t>
  </si>
  <si>
    <t>número de serviços propostos a serem fiscalizados</t>
  </si>
  <si>
    <r>
      <t xml:space="preserve">Índice de presença profissional </t>
    </r>
    <r>
      <rPr>
        <b/>
        <sz val="20"/>
        <color theme="8" tint="-0.499984740745262"/>
        <rFont val="Calibri"/>
        <family val="2"/>
        <scheme val="minor"/>
      </rPr>
      <t>nas obras</t>
    </r>
    <r>
      <rPr>
        <sz val="20"/>
        <rFont val="Calibri"/>
        <family val="2"/>
        <scheme val="minor"/>
      </rPr>
      <t xml:space="preserve"> e  serviços fiscalizados  (%) - </t>
    </r>
    <r>
      <rPr>
        <b/>
        <sz val="20"/>
        <rFont val="Calibri"/>
        <family val="2"/>
        <scheme val="minor"/>
      </rPr>
      <t>(CAU/UF)</t>
    </r>
  </si>
  <si>
    <t>quantidade de presença profissional com RRT</t>
  </si>
  <si>
    <t>quantidade de serviços fiscalizados pelo CAU/UF</t>
  </si>
  <si>
    <r>
      <t xml:space="preserve">Índice de RRT por mês por profissional ativo  - </t>
    </r>
    <r>
      <rPr>
        <b/>
        <sz val="20"/>
        <rFont val="Calibri"/>
        <family val="2"/>
        <scheme val="minor"/>
      </rPr>
      <t xml:space="preserve">(CAU/UF)    </t>
    </r>
  </si>
  <si>
    <r>
      <t xml:space="preserve">número total de RRT registrados </t>
    </r>
    <r>
      <rPr>
        <b/>
        <sz val="20"/>
        <rFont val="Calibri"/>
        <family val="2"/>
        <scheme val="minor"/>
      </rPr>
      <t xml:space="preserve">por mês </t>
    </r>
  </si>
  <si>
    <t>Mensal</t>
  </si>
  <si>
    <t>número total de profissionais ativos no Estado</t>
  </si>
  <si>
    <r>
      <t>Índice de capacidade de atendimento de denúncias  (%) -</t>
    </r>
    <r>
      <rPr>
        <b/>
        <sz val="20"/>
        <rFont val="Calibri"/>
        <family val="2"/>
        <scheme val="minor"/>
      </rPr>
      <t xml:space="preserve"> (CAU/UF)</t>
    </r>
    <r>
      <rPr>
        <sz val="20"/>
        <rFont val="Calibri"/>
        <family val="2"/>
        <scheme val="minor"/>
      </rPr>
      <t xml:space="preserve">
</t>
    </r>
  </si>
  <si>
    <t>quantidade de denúncias atendidas pelo CAU/UF</t>
  </si>
  <si>
    <t>X 100</t>
  </si>
  <si>
    <t>número de denúncias recebidas pelo CAU/UF</t>
  </si>
  <si>
    <r>
      <t>Índice de orientações gerais  realizadas  (%) -</t>
    </r>
    <r>
      <rPr>
        <b/>
        <sz val="20"/>
        <rFont val="Calibri"/>
        <family val="2"/>
        <scheme val="minor"/>
      </rPr>
      <t xml:space="preserve"> (CAU/UF)</t>
    </r>
    <r>
      <rPr>
        <sz val="20"/>
        <rFont val="Calibri"/>
        <family val="2"/>
        <scheme val="minor"/>
      </rPr>
      <t xml:space="preserve">
</t>
    </r>
  </si>
  <si>
    <t>quantidade de orientações gerais realizadas pelo CAU/UF</t>
  </si>
  <si>
    <t>Semestral</t>
  </si>
  <si>
    <t>número de orientações propostas a serem realizadas</t>
  </si>
  <si>
    <r>
      <t xml:space="preserve">Índice de eficiência na conclusão de processos de fiscalização  (%) - </t>
    </r>
    <r>
      <rPr>
        <b/>
        <sz val="20"/>
        <rFont val="Calibri"/>
        <family val="2"/>
        <scheme val="minor"/>
      </rPr>
      <t>(CAU/UF)</t>
    </r>
  </si>
  <si>
    <t>número de processos de fiscalização concluídos em um ano</t>
  </si>
  <si>
    <t xml:space="preserve"> número total de processos de fiscalização</t>
  </si>
  <si>
    <r>
      <t xml:space="preserve">Índice de atendimento (%) - </t>
    </r>
    <r>
      <rPr>
        <b/>
        <sz val="20"/>
        <rFont val="Calibri"/>
        <family val="2"/>
        <scheme val="minor"/>
      </rPr>
      <t>(CAU/UF)</t>
    </r>
  </si>
  <si>
    <t>número de solicitações tratadas em até 30 dias</t>
  </si>
  <si>
    <t>número de solicitações</t>
  </si>
  <si>
    <r>
      <t xml:space="preserve">Índice de satisfação com a solução da demanda (%) - </t>
    </r>
    <r>
      <rPr>
        <b/>
        <sz val="20"/>
        <rFont val="Calibri"/>
        <family val="2"/>
        <scheme val="minor"/>
      </rPr>
      <t>(CAU/UF)</t>
    </r>
  </si>
  <si>
    <t>número de usuários satisfeitos com a solução da demanda</t>
  </si>
  <si>
    <t>número de usuários que responderam a pesquisa</t>
  </si>
  <si>
    <r>
      <t xml:space="preserve">Índice da intenção (plano) de investimento em patrocínios (%) - </t>
    </r>
    <r>
      <rPr>
        <b/>
        <sz val="20"/>
        <rFont val="Calibri"/>
        <family val="2"/>
        <scheme val="minor"/>
      </rPr>
      <t>(CAU/UF)</t>
    </r>
  </si>
  <si>
    <t>valor orçamentário destinado a patrocínios</t>
  </si>
  <si>
    <t>orçamento total</t>
  </si>
  <si>
    <r>
      <t xml:space="preserve">Índice da capacidade de execução dos investimentos em patrocínios  (%) - </t>
    </r>
    <r>
      <rPr>
        <b/>
        <sz val="20"/>
        <rFont val="Calibri"/>
        <family val="2"/>
        <scheme val="minor"/>
      </rPr>
      <t xml:space="preserve">(CAU/UF) </t>
    </r>
  </si>
  <si>
    <t>valor orçamentário investido (executado) em patrocínios</t>
  </si>
  <si>
    <r>
      <t>Índice de presença profissional em órgãos de planejamento e gestão urbana (%) -</t>
    </r>
    <r>
      <rPr>
        <b/>
        <sz val="20"/>
        <color theme="1"/>
        <rFont val="Calibri"/>
        <family val="2"/>
        <scheme val="minor"/>
      </rPr>
      <t xml:space="preserve"> (CAU/UF)</t>
    </r>
  </si>
  <si>
    <t>número de órgãos públicos nos municípios do Estado que atuam em planejamento territorial e gestão urbana que utilizem pelo menos um arquiteto e urbanista (interno ou externo)</t>
  </si>
  <si>
    <t>número de órgãos públicos nos municípios do Estado que atuam em planejamento territorial e gestão urbana</t>
  </si>
  <si>
    <r>
      <t xml:space="preserve">Índice de municípios que possuem um órgão de planejamento urbano (%) - </t>
    </r>
    <r>
      <rPr>
        <b/>
        <sz val="20"/>
        <color theme="1"/>
        <rFont val="Calibri"/>
        <family val="2"/>
        <scheme val="minor"/>
      </rPr>
      <t>(CAU/UF)</t>
    </r>
  </si>
  <si>
    <t>número de municípios no Estado que possuem um órgão de planejamento urbano</t>
  </si>
  <si>
    <t>total de municípios no Estado</t>
  </si>
  <si>
    <r>
      <t xml:space="preserve">Participação do CAU na elaboração ou regulamentação da Lei da Asssitência Técnica Gratuita     (Lei nº 11.888/08) (%) - </t>
    </r>
    <r>
      <rPr>
        <b/>
        <sz val="20"/>
        <rFont val="Calibri"/>
        <family val="2"/>
        <scheme val="minor"/>
      </rPr>
      <t xml:space="preserve">(CAU/UF)
</t>
    </r>
  </si>
  <si>
    <t xml:space="preserve">número de municípios no Estado que aplicam a Lei de Assistência Técnica </t>
  </si>
  <si>
    <t>x100</t>
  </si>
  <si>
    <t>total de municípios do Estado (= total da amostragem definida)</t>
  </si>
  <si>
    <r>
      <t xml:space="preserve">Obrigatoriedade de planos urbanísticos para as cidades (%) - </t>
    </r>
    <r>
      <rPr>
        <b/>
        <sz val="20"/>
        <rFont val="Calibri"/>
        <family val="2"/>
        <scheme val="minor"/>
      </rPr>
      <t>(CAU/UF)</t>
    </r>
  </si>
  <si>
    <t>número de planos diretores que contemplam planos urbanísticos nos municípios do Estado</t>
  </si>
  <si>
    <t>número de planos diretores nos municípios do Estado</t>
  </si>
  <si>
    <r>
      <t xml:space="preserve">Acessos à página do CAU (Qtd.) - </t>
    </r>
    <r>
      <rPr>
        <b/>
        <sz val="20"/>
        <rFont val="Calibri"/>
        <family val="2"/>
        <scheme val="minor"/>
      </rPr>
      <t>(CAU/UF)</t>
    </r>
  </si>
  <si>
    <t>Quantidade de acessos qualificados (visitantes únicos) a página do CAU</t>
  </si>
  <si>
    <r>
      <t xml:space="preserve">Índice de presença na mídia como um todo (%) - </t>
    </r>
    <r>
      <rPr>
        <b/>
        <sz val="20"/>
        <rFont val="Calibri"/>
        <family val="2"/>
        <scheme val="minor"/>
      </rPr>
      <t>(CAU/UF)</t>
    </r>
  </si>
  <si>
    <t>número de inserções na mídia em geral onde o CAU foi citado</t>
  </si>
  <si>
    <t>total de notícias sobre questões de Arquitetura e Urbanismo</t>
  </si>
  <si>
    <r>
      <t xml:space="preserve">Índice de inserções positivas na mídia (%) - </t>
    </r>
    <r>
      <rPr>
        <b/>
        <sz val="20"/>
        <rFont val="Calibri"/>
        <family val="2"/>
        <scheme val="minor"/>
      </rPr>
      <t>(CAU/UF)</t>
    </r>
  </si>
  <si>
    <t>número de inserções positivas do CAU na mídia</t>
  </si>
  <si>
    <t>total de inserções do CAU na mídia</t>
  </si>
  <si>
    <r>
      <t xml:space="preserve">Índice de escolas que possuem disciplinas com conteúdo sobre a ética profissional (%) - </t>
    </r>
    <r>
      <rPr>
        <b/>
        <sz val="20"/>
        <rFont val="Calibri"/>
        <family val="2"/>
        <scheme val="minor"/>
      </rPr>
      <t>(CAU/UF)</t>
    </r>
  </si>
  <si>
    <t>número de escolas do Estado com a disciplina de ética profissional na grade curricular</t>
  </si>
  <si>
    <t>número total de escolas do Estado</t>
  </si>
  <si>
    <r>
      <t xml:space="preserve">Índice de eficiência na conclusão de processos éticos (%) - </t>
    </r>
    <r>
      <rPr>
        <b/>
        <sz val="20"/>
        <rFont val="Calibri"/>
        <family val="2"/>
        <scheme val="minor"/>
      </rPr>
      <t>(CAU/UF)</t>
    </r>
  </si>
  <si>
    <t>número de processos éticos concluídos em um ano</t>
  </si>
  <si>
    <t>número total de processos éticos</t>
  </si>
  <si>
    <r>
      <t xml:space="preserve">Índice de RRT por população (1.000 habitantes) - </t>
    </r>
    <r>
      <rPr>
        <b/>
        <sz val="20"/>
        <rFont val="Calibri"/>
        <family val="2"/>
        <scheme val="minor"/>
      </rPr>
      <t>(CAU/UF)</t>
    </r>
  </si>
  <si>
    <t>número total de RRT do Estado</t>
  </si>
  <si>
    <t>população do Estado (1000 habitantes)</t>
  </si>
  <si>
    <r>
      <t xml:space="preserve">Índice de RRT mínimas - </t>
    </r>
    <r>
      <rPr>
        <b/>
        <sz val="20"/>
        <rFont val="Calibri"/>
        <family val="2"/>
        <scheme val="minor"/>
      </rPr>
      <t>(CAU/UF)</t>
    </r>
  </si>
  <si>
    <t>RRT mínima</t>
  </si>
  <si>
    <t>total de RRT no Estado</t>
  </si>
  <si>
    <r>
      <t xml:space="preserve">Índice de receita por arquiteto e urbanista - </t>
    </r>
    <r>
      <rPr>
        <b/>
        <sz val="20"/>
        <rFont val="Calibri"/>
        <family val="2"/>
        <scheme val="minor"/>
      </rPr>
      <t xml:space="preserve">(CAU/UF) </t>
    </r>
  </si>
  <si>
    <t>receita corrente do Estado</t>
  </si>
  <si>
    <t>Semestral e anual</t>
  </si>
  <si>
    <t>arquiteto e urbanista ativo no Estado</t>
  </si>
  <si>
    <r>
      <t xml:space="preserve">Relação receita/custo de pessoal (%) - </t>
    </r>
    <r>
      <rPr>
        <b/>
        <sz val="20"/>
        <rFont val="Calibri"/>
        <family val="2"/>
        <scheme val="minor"/>
      </rPr>
      <t>(CAU/UF)</t>
    </r>
  </si>
  <si>
    <t>custo de pessoal do Estado</t>
  </si>
  <si>
    <r>
      <t xml:space="preserve">Índice de liquidez corrente - </t>
    </r>
    <r>
      <rPr>
        <b/>
        <sz val="20"/>
        <rFont val="Calibri"/>
        <family val="2"/>
        <scheme val="minor"/>
      </rPr>
      <t>(CAU/UF)</t>
    </r>
  </si>
  <si>
    <t>ativo circulante</t>
  </si>
  <si>
    <t>passivo circulante</t>
  </si>
  <si>
    <r>
      <t xml:space="preserve">Índice de inadimplência pessoa física (%) - </t>
    </r>
    <r>
      <rPr>
        <b/>
        <sz val="20"/>
        <rFont val="Calibri"/>
        <family val="2"/>
        <scheme val="minor"/>
      </rPr>
      <t>(CAU/UF)</t>
    </r>
  </si>
  <si>
    <t>total de profissionais inadimplentes</t>
  </si>
  <si>
    <t>total de profissionais ativos</t>
  </si>
  <si>
    <r>
      <t xml:space="preserve">Índice de inadimplência pessoa jurídica (%) - </t>
    </r>
    <r>
      <rPr>
        <b/>
        <sz val="20"/>
        <rFont val="Calibri"/>
        <family val="2"/>
        <scheme val="minor"/>
      </rPr>
      <t>(CAU/UF)</t>
    </r>
  </si>
  <si>
    <t>total de empresas inadimplentes</t>
  </si>
  <si>
    <t>total de empresas ativas</t>
  </si>
  <si>
    <r>
      <t xml:space="preserve">Índice de processos aprimorados e/ou inovados (%) - </t>
    </r>
    <r>
      <rPr>
        <b/>
        <sz val="20"/>
        <rFont val="Calibri"/>
        <family val="2"/>
        <scheme val="minor"/>
      </rPr>
      <t>(CAU/UF)</t>
    </r>
  </si>
  <si>
    <t>número de processos críticos aprimorados e/ou inovados</t>
  </si>
  <si>
    <t>total de processos críticos</t>
  </si>
  <si>
    <r>
      <t xml:space="preserve">Média de horas de treinamento por colaboradores e dirigentes - </t>
    </r>
    <r>
      <rPr>
        <b/>
        <sz val="20"/>
        <rFont val="Calibri"/>
        <family val="2"/>
        <scheme val="minor"/>
      </rPr>
      <t>(CAU/UF)</t>
    </r>
  </si>
  <si>
    <t>horas totais de treinamento</t>
  </si>
  <si>
    <t>número total de colaboradores e dirigentes</t>
  </si>
  <si>
    <r>
      <t>Índice de engajamento dos colaboradores e dirigentes (%) -</t>
    </r>
    <r>
      <rPr>
        <b/>
        <sz val="20"/>
        <rFont val="Calibri"/>
        <family val="2"/>
        <scheme val="minor"/>
      </rPr>
      <t xml:space="preserve"> (CAU/UF)</t>
    </r>
  </si>
  <si>
    <t>número de colaboradores e dirigentes do CAU engajados de acordo com pesquisa de engajamento</t>
  </si>
  <si>
    <t>número de colaboradores e dirigentes do CAU</t>
  </si>
  <si>
    <r>
      <t>Índice de satisfação interna com a tecnologia utilizada (%) -</t>
    </r>
    <r>
      <rPr>
        <b/>
        <sz val="20"/>
        <rFont val="Calibri"/>
        <family val="2"/>
        <scheme val="minor"/>
      </rPr>
      <t xml:space="preserve"> (CAU/UF)</t>
    </r>
  </si>
  <si>
    <t>número de usuários internos satisfeitos com a tecnologia</t>
  </si>
  <si>
    <t>total de usuários internos que participaram da pesquisa</t>
  </si>
  <si>
    <r>
      <t xml:space="preserve">Índice de satisfação externa com a tecnologia utilizada (%) - </t>
    </r>
    <r>
      <rPr>
        <b/>
        <sz val="20"/>
        <rFont val="Calibri"/>
        <family val="2"/>
        <scheme val="minor"/>
      </rPr>
      <t>(CAU/UF)</t>
    </r>
  </si>
  <si>
    <t>número de usuários externos satisfeitos com a tecnologia</t>
  </si>
  <si>
    <t>total de usuários externos que participaram da pesquisa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</si>
  <si>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</si>
  <si>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APRESENTAR TODAS A INICIATIVAS ESTRATÉGICAS QUE FORAM PREVISTAS NO ÚLTIMO PARECER APROVADO DO PLANO DE AÇÃO DO EXERCÍCIO DE 2019.</t>
  </si>
  <si>
    <t>Quadro Geral - Relatório de Gestão - Exercício 2019</t>
  </si>
  <si>
    <t>1. QUADRO GERAL</t>
  </si>
  <si>
    <t>Valores em R$ 1,00</t>
  </si>
  <si>
    <t>Unidade Responsável</t>
  </si>
  <si>
    <t>P/A/PE</t>
  </si>
  <si>
    <t>Denominação</t>
  </si>
  <si>
    <t>Objetivo Estratégico Principal</t>
  </si>
  <si>
    <t>Resultado Previsto</t>
  </si>
  <si>
    <t>Programação                    2019                                     (A)</t>
  </si>
  <si>
    <t>Programação  com Transposição (Orçado)                    2019                                    (B)</t>
  </si>
  <si>
    <t>Executado                        2019                               (C)</t>
  </si>
  <si>
    <t xml:space="preserve">Variação  </t>
  </si>
  <si>
    <t xml:space="preserve"> Valor(R$)
(F=C-A)</t>
  </si>
  <si>
    <t>% 
(G=F/A *100)</t>
  </si>
  <si>
    <t>Gerência Geral</t>
  </si>
  <si>
    <t>A</t>
  </si>
  <si>
    <t>Funcionamento do CAU/DF</t>
  </si>
  <si>
    <t xml:space="preserve">Contribuir pela melhoria das condições de trabalho do CAU/DF, de modo a garantir a continuidade das atividades operacionais. </t>
  </si>
  <si>
    <t>Assessoria de Comunicação</t>
  </si>
  <si>
    <t>P</t>
  </si>
  <si>
    <t>Comunicação do CAU/DF</t>
  </si>
  <si>
    <t>Ampliar a visibilidade e identificação visual do CAU/DF tanto a partir da confecção de materiais quanto pela participação ativa do conselho em eventos, plenárias e reuniões.</t>
  </si>
  <si>
    <t>Departamento de Fiscalização</t>
  </si>
  <si>
    <t>Fiscalização 2019</t>
  </si>
  <si>
    <t>Difundir as ações de fiscalização de modo a garantir melhoria no ambiente profissional.</t>
  </si>
  <si>
    <t>Gerente Técnica e Atendimento - GETEC</t>
  </si>
  <si>
    <t>Atendimento aos Arquitetos e Urbanistas</t>
  </si>
  <si>
    <t>Contribuir para melhoria do atendimento aos profissionais da arquitetura e urbanismo e sociedades.</t>
  </si>
  <si>
    <t>Capacitação dos Colaboradores do CAU/DF</t>
  </si>
  <si>
    <t>Desenvolver as habilidades do quadro funcional do CAU/DF.</t>
  </si>
  <si>
    <t>Assessoria de Informática</t>
  </si>
  <si>
    <t>Centro de Serviço Compartilhado - Fiscalização</t>
  </si>
  <si>
    <t>Cumprimento da Resolução n° 92 do CAU/BR.</t>
  </si>
  <si>
    <t>Centro de Serviço Compartilhado - Atendimento</t>
  </si>
  <si>
    <t>Gerência Financeira</t>
  </si>
  <si>
    <t>Fundo de Apoio CAU/DF</t>
  </si>
  <si>
    <t>Cumprimento da Resolução n° 119</t>
  </si>
  <si>
    <t>Assistência Técnica</t>
  </si>
  <si>
    <t>Contribuir para a Melhoria da mentalidade social com relação a ocupação dos espaços urbanos.</t>
  </si>
  <si>
    <t>Patrocinar Eventos de Interesse da Arquitetura e Urbanismo.</t>
  </si>
  <si>
    <t>Melhoria do desenvolvimento das atividades</t>
  </si>
  <si>
    <t>Reserva de Contingência CAU/DF</t>
  </si>
  <si>
    <t>Atender com obrigações financeiras de carácter atípicas e intempestivas</t>
  </si>
  <si>
    <t>Nova SEDE CAU/DF</t>
  </si>
  <si>
    <t xml:space="preserve">Garantir a estrutura física para atendimento e funcionamento do CAU/DF. </t>
  </si>
  <si>
    <t>TOTAL</t>
  </si>
  <si>
    <t>LEGENDA: P = PROJETO/ A = ATIVIDADE/PE= PROJETO ESPECÍFICO/ FP = FUNDO DE APOIO</t>
  </si>
  <si>
    <t>Comentários:</t>
  </si>
  <si>
    <t>CAU - DF</t>
  </si>
  <si>
    <t>Conselho de Arquitetura e Urbanismo do Distrito Federal</t>
  </si>
  <si>
    <t>CNPJ: 14.981.648/0001-09</t>
  </si>
  <si>
    <t>Período: 01/01/2019 a 31/12/2019</t>
  </si>
  <si>
    <t>Demonstrativo de Empenhos e Pagamentos</t>
  </si>
  <si>
    <t>Todos os centros de custos</t>
  </si>
  <si>
    <t>EMPENHOS</t>
  </si>
  <si>
    <t>LIQUIDAÇÕES</t>
  </si>
  <si>
    <t>PAGAMENTOS</t>
  </si>
  <si>
    <t>SALDOS</t>
  </si>
  <si>
    <t>Centro de Custo</t>
  </si>
  <si>
    <t>Orçado</t>
  </si>
  <si>
    <t>Período</t>
  </si>
  <si>
    <t>Exercício</t>
  </si>
  <si>
    <t>Orçamento</t>
  </si>
  <si>
    <t>A Liquidar</t>
  </si>
  <si>
    <t>A Pagar</t>
  </si>
  <si>
    <t xml:space="preserve"> UNIDADES OPERACIONAIS</t>
  </si>
  <si>
    <t xml:space="preserve"> GABINETE DA PRESIDÊNCIA</t>
  </si>
  <si>
    <t xml:space="preserve"> ASSESSORIA DE COMUNICAÇÃO</t>
  </si>
  <si>
    <t>Projeto - Comunicação CAU/DF</t>
  </si>
  <si>
    <t xml:space="preserve"> GABINETE DE GERÊNCIA GERAL</t>
  </si>
  <si>
    <t xml:space="preserve"> GERÊNCIA TÉCNICA</t>
  </si>
  <si>
    <t>Projeto - Atendimento aos Arquitetos e Urbanistas</t>
  </si>
  <si>
    <t>Projeto - Fiscalização 2019</t>
  </si>
  <si>
    <t xml:space="preserve"> GERÊNCIA GERAL</t>
  </si>
  <si>
    <t>Atividade - Funcionamento CAU/DF</t>
  </si>
  <si>
    <t>Projeto - Patrocinar Eventos das Entidades</t>
  </si>
  <si>
    <t>Projeto - Capacitação Conselheiros/Colaboradores do CAU/DF</t>
  </si>
  <si>
    <t>Projeto - Assistência Técnica CAU/DF</t>
  </si>
  <si>
    <t>Projeto - Nova SEDE CAU/DF</t>
  </si>
  <si>
    <t xml:space="preserve"> GERÊNCIA FINANCEIRA E CONTABILIDADE</t>
  </si>
  <si>
    <t>Atividade - Fundo de Apoio CAU</t>
  </si>
  <si>
    <t>Atividade - Reserva de Contingência CAU/DF</t>
  </si>
  <si>
    <t xml:space="preserve"> ASSESSORIA DE INFORMÁTICA</t>
  </si>
  <si>
    <t>Centro de Serviço Compartilhado Fiscalização</t>
  </si>
  <si>
    <t>Total</t>
  </si>
  <si>
    <t>Página:1/1</t>
  </si>
  <si>
    <t>Orientação:  Utilizar as receitas de Arrecadação - anuidades, RRT, taxas e multas, devem ser considerados os valores constantes do último Parecer APROVADO do Plano de Ação 2019. As células sinalizadas, em cinza, são fórmulas e não devem ser modificadas. Verificar os comentários colocando o cursor na célula correspondente, no cabeçalho.</t>
  </si>
  <si>
    <t>CAU/UF:</t>
  </si>
  <si>
    <t>Demonstrativo das Fontes - Relatório de Gestão - Exercício 2019</t>
  </si>
  <si>
    <t>Especificação</t>
  </si>
  <si>
    <t>Programação 
2019
 (A)</t>
  </si>
  <si>
    <t>Receitas Realizadas                    2019                               (B)</t>
  </si>
  <si>
    <t xml:space="preserve">Variação                                                      </t>
  </si>
  <si>
    <t xml:space="preserve">Part. % (E)           </t>
  </si>
  <si>
    <t>Valores
 (C=B-A)</t>
  </si>
  <si>
    <t>%       
 (D=C/A)</t>
  </si>
  <si>
    <t>I - FONTES</t>
  </si>
  <si>
    <t>1. Receitas Correntes</t>
  </si>
  <si>
    <t>1.1 Receitas de Arrecadação Total</t>
  </si>
  <si>
    <t>1.1.1 Anuidades</t>
  </si>
  <si>
    <t>1.1.1.1 Pessoa Física</t>
  </si>
  <si>
    <t>1.1.1.1.1 Anuidade 2019</t>
  </si>
  <si>
    <t>1.1.1.1.2 Anuidade Exercícios anteriores</t>
  </si>
  <si>
    <t>1.1.1.2 Pessoa Jurídica</t>
  </si>
  <si>
    <t>1.1.1.2.1 Anuidade 2019</t>
  </si>
  <si>
    <t>1.1.1.2.2 Anuidade Exercícios anteriores</t>
  </si>
  <si>
    <t>1.1.3 RRT</t>
  </si>
  <si>
    <t>1.1.3 Taxas e Multas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</si>
  <si>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</si>
  <si>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</si>
  <si>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</si>
  <si>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</si>
  <si>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</si>
  <si>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>2.2 Outras Receitas</t>
  </si>
  <si>
    <t xml:space="preserve"> I – TOTAL</t>
  </si>
  <si>
    <t>II. USOS</t>
  </si>
  <si>
    <t>II.1 Programação Operacional</t>
  </si>
  <si>
    <t>Projetos</t>
  </si>
  <si>
    <t>Atividades</t>
  </si>
  <si>
    <t>II.2 Aportes ao Fundo de Apoio</t>
  </si>
  <si>
    <t xml:space="preserve">II.3 Aporte ao CSC </t>
  </si>
  <si>
    <t>II.4 Reserva de Contingência</t>
  </si>
  <si>
    <t>II – TOTAL</t>
  </si>
  <si>
    <t>VARIAÇÃO (I-II)</t>
  </si>
  <si>
    <t>Balanço Orçamentário</t>
  </si>
  <si>
    <t>RECEITAS ORÇAMENTÁRIAS</t>
  </si>
  <si>
    <t xml:space="preserve"> </t>
  </si>
  <si>
    <t>PREVISÃO INICIAL</t>
  </si>
  <si>
    <t>PREVISÃO ATUALIZADA</t>
  </si>
  <si>
    <t>RECEITAS REALIZADAS</t>
  </si>
  <si>
    <t>SALDO</t>
  </si>
  <si>
    <t xml:space="preserve">RECEITA CORRENTE </t>
  </si>
  <si>
    <t>RECEITAS DE CONTRIBUICOES</t>
  </si>
  <si>
    <t>RECEITA DE CONTRIBUIÇÕES</t>
  </si>
  <si>
    <t>ANUIDADES</t>
  </si>
  <si>
    <t>RECEITA DE SERVIÇOS</t>
  </si>
  <si>
    <t xml:space="preserve">EMOLUMENTOS COM EXPEDIÇÕES DE CERTIDÕES </t>
  </si>
  <si>
    <t xml:space="preserve">EMOLUMENTOS COM REGISTRO DE RESPONSABILIDADE TÉCNICA - RRT </t>
  </si>
  <si>
    <t>RECEITAS DIVERSAS DE SERVIÇOS</t>
  </si>
  <si>
    <t>OUTRAS RECEITAS CORRENTES</t>
  </si>
  <si>
    <t xml:space="preserve">FINANCEIRAS </t>
  </si>
  <si>
    <t xml:space="preserve">JUROS DE MORA SOBRE ANUIDADES </t>
  </si>
  <si>
    <t xml:space="preserve">ATUALIZAÇÃO MONETÁRIA </t>
  </si>
  <si>
    <t xml:space="preserve">REMUNERAÇÃO DE DEP. BANC. E APLICAÇÕES FINANCEIRAS </t>
  </si>
  <si>
    <t>DÍVIDA ATIVA</t>
  </si>
  <si>
    <t xml:space="preserve">MULTAS DE INFRAÇÕES </t>
  </si>
  <si>
    <t xml:space="preserve">INDENIZAÇÕES E RESTITUIÇÕES </t>
  </si>
  <si>
    <t>RECEITA DE CAPITAL</t>
  </si>
  <si>
    <t>OUTRAS RECEITAS DE CAPITAL</t>
  </si>
  <si>
    <t>SUPERÁVIT DO EXERCÍCIO CORRENTE</t>
  </si>
  <si>
    <t>RECURSOS ARRECADADOS EM EXERCÍCIOS ANTERIORES</t>
  </si>
  <si>
    <t>SUB-TOTAL DAS RECEITAS</t>
  </si>
  <si>
    <t>DÉFICIT</t>
  </si>
  <si>
    <t>DESPESAS   ORÇAMENTÁRIAS</t>
  </si>
  <si>
    <t>DOTAÇÃO   INICIAL</t>
  </si>
  <si>
    <t>DOTAÇÃO   ATUALIZADA</t>
  </si>
  <si>
    <t>DESPESAS   EMPENHADAS</t>
  </si>
  <si>
    <t>DESPESAS  LIQUIDADAS</t>
  </si>
  <si>
    <t>DESPESAS    PAGAS</t>
  </si>
  <si>
    <t>SALDO     DOTAÇÃO</t>
  </si>
  <si>
    <t>DESPESA CORRENTE</t>
  </si>
  <si>
    <t>PESSOAL</t>
  </si>
  <si>
    <t>PESSOAL E ENCARGOS</t>
  </si>
  <si>
    <t>MATERIAL DE CONSUMO</t>
  </si>
  <si>
    <t>SERVIÇOS DE TERCEIROS - PESSOA FÍSICA</t>
  </si>
  <si>
    <t>REMUNERAÇÃO DE SERVIÇOS PESSOAIS</t>
  </si>
  <si>
    <t>DIÁRIAS</t>
  </si>
  <si>
    <t>SERVIÇOS DE TERCEIROS - PESSOA JURÍDICA</t>
  </si>
  <si>
    <t>SERVIÇOS DE CONSULTORIA</t>
  </si>
  <si>
    <t>SERVIÇOS DE COMUNICAÇÃO E DIVULGAÇÃO</t>
  </si>
  <si>
    <t>SERVIÇOS PRESTADOS</t>
  </si>
  <si>
    <t>PASSAGENS</t>
  </si>
  <si>
    <t>ENCARGOS DIVERSOS</t>
  </si>
  <si>
    <t>TRANSFERÊNCIAS CORRENTES</t>
  </si>
  <si>
    <t>FUNDO DE APOIO AO CAU-UF</t>
  </si>
  <si>
    <t>CONVÊNIOS, CONTRATOS E PATROCÍNIO</t>
  </si>
  <si>
    <t>CENTRO DE SERVIÇOS COMPARTILHADOS - CSC</t>
  </si>
  <si>
    <t>CRÉDITO DISPONÍVEL DESPESA DE CAPITAL</t>
  </si>
  <si>
    <t>INVESTIMENTOS</t>
  </si>
  <si>
    <t xml:space="preserve">OBRAS, INSTALAÇÕES E REFORMAS </t>
  </si>
  <si>
    <t xml:space="preserve">EQUIPAMENTOS E MATERIAIS PERMANENTES </t>
  </si>
  <si>
    <t>DOTAÇÃO ADICIONAL POR FONTE</t>
  </si>
  <si>
    <t>SUB-TOTAL DAS DESPESAS</t>
  </si>
  <si>
    <t>SUPERÁVIT</t>
  </si>
  <si>
    <t>Evite imprimir. Colabore com o meio ambiente.</t>
  </si>
  <si>
    <t>Orientação: As células em cinza estão vinculadas com fórmulas, não devem ser preenchidas.</t>
  </si>
  <si>
    <t xml:space="preserve"> Limites de Aplicação dos Recursos Estratégicos - Relatório de Gestão - Exercício 2019</t>
  </si>
  <si>
    <t>BASE DE CÁLCULO</t>
  </si>
  <si>
    <t>APLICAÇÕES DE RECURSOS</t>
  </si>
  <si>
    <t>Programação 2019</t>
  </si>
  <si>
    <t>Receitas Realizadas                     2019</t>
  </si>
  <si>
    <t>Variação (%)</t>
  </si>
  <si>
    <t xml:space="preserve">FOLHA DE PAGAMENTO </t>
  </si>
  <si>
    <t>Executado                       2019</t>
  </si>
  <si>
    <t>1. Receita de Arrecadação do Exercício 2019</t>
  </si>
  <si>
    <t>A. Pessoal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</si>
  <si>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</si>
  <si>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</si>
  <si>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</si>
  <si>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</si>
  <si>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</si>
  <si>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 Receita da Arrecadação Líquida (RAL = 3 - 4)</t>
  </si>
  <si>
    <t xml:space="preserve">BASE DE CÁLCULO </t>
  </si>
  <si>
    <t>LIMITES</t>
  </si>
  <si>
    <t>Variação</t>
  </si>
  <si>
    <t xml:space="preserve">Variação </t>
  </si>
  <si>
    <r>
      <t xml:space="preserve">Fiscalização
</t>
    </r>
    <r>
      <rPr>
        <b/>
        <sz val="14"/>
        <color rgb="FF008080"/>
        <rFont val="Calibri"/>
        <family val="2"/>
      </rPr>
      <t xml:space="preserve">(mínimo de 15 % do total da RAL)   </t>
    </r>
    <r>
      <rPr>
        <b/>
        <sz val="14"/>
        <color indexed="21"/>
        <rFont val="Calibri"/>
        <family val="2"/>
      </rPr>
      <t xml:space="preserve">   </t>
    </r>
    <r>
      <rPr>
        <b/>
        <sz val="14"/>
        <color indexed="10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 xml:space="preserve">                                                                     </t>
    </r>
  </si>
  <si>
    <t>Valor</t>
  </si>
  <si>
    <r>
      <t xml:space="preserve"> Despesas com Pessoal </t>
    </r>
    <r>
      <rPr>
        <b/>
        <sz val="14"/>
        <color indexed="57"/>
        <rFont val="Calibri"/>
        <family val="2"/>
      </rPr>
      <t>(máximo de 55% sobre as Receitas Correntes. Não considerar o valor total das rescisões contratuais, auxílio alimentação, auxílio transporte, plano de saúde e demais benefícios)</t>
    </r>
  </si>
  <si>
    <t xml:space="preserve">% </t>
  </si>
  <si>
    <r>
      <t xml:space="preserve">Atendimento
</t>
    </r>
    <r>
      <rPr>
        <b/>
        <sz val="14"/>
        <color indexed="21"/>
        <rFont val="Calibri"/>
        <family val="2"/>
      </rPr>
      <t>(mínimo de 10 % do total da RAL)</t>
    </r>
  </si>
  <si>
    <r>
      <t>Capacitação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</si>
  <si>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 xml:space="preserve">Comunicação
</t>
    </r>
    <r>
      <rPr>
        <b/>
        <sz val="14"/>
        <color indexed="21"/>
        <rFont val="Calibri"/>
        <family val="2"/>
      </rPr>
      <t xml:space="preserve">(mínimo de 3% do total da RAL)             </t>
    </r>
    <r>
      <rPr>
        <b/>
        <sz val="14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</si>
  <si>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Patrocínio
</t>
    </r>
    <r>
      <rPr>
        <b/>
        <sz val="14"/>
        <color indexed="21"/>
        <rFont val="Calibri"/>
        <family val="2"/>
      </rPr>
      <t xml:space="preserve">(máximo de 5% do total da RAL)   </t>
    </r>
    <r>
      <rPr>
        <b/>
        <sz val="14"/>
        <color indexed="10"/>
        <rFont val="Calibri"/>
        <family val="2"/>
      </rPr>
      <t xml:space="preserve">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</si>
  <si>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
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008080"/>
        <rFont val="Calibri"/>
        <family val="2"/>
      </rPr>
      <t xml:space="preserve">(mínimo de 6 % do total da RAL) </t>
    </r>
    <r>
      <rPr>
        <b/>
        <sz val="14"/>
        <color indexed="21"/>
        <rFont val="Calibri"/>
        <family val="2"/>
      </rPr>
      <t xml:space="preserve">                        </t>
    </r>
  </si>
  <si>
    <r>
      <t xml:space="preserve">Assistência Técnica
</t>
    </r>
    <r>
      <rPr>
        <b/>
        <sz val="14"/>
        <color rgb="FF008080"/>
        <rFont val="Calibri"/>
        <family val="2"/>
        <scheme val="minor"/>
      </rPr>
      <t xml:space="preserve">(mínimo de 2% do total da RAL) </t>
    </r>
    <r>
      <rPr>
        <b/>
        <sz val="14"/>
        <color theme="1"/>
        <rFont val="Calibri"/>
        <family val="2"/>
        <scheme val="minor"/>
      </rPr>
      <t xml:space="preserve">   </t>
    </r>
  </si>
  <si>
    <r>
      <t xml:space="preserve">Reserva de Contingência
</t>
    </r>
    <r>
      <rPr>
        <b/>
        <sz val="14"/>
        <color indexed="21"/>
        <rFont val="Calibri"/>
        <family val="2"/>
      </rPr>
      <t xml:space="preserve">(até 2 % do total da RAL)              </t>
    </r>
  </si>
  <si>
    <t>COMENTÁRIOS/JUSTIFICATIVAS :</t>
  </si>
  <si>
    <t>Vale-Transporte:</t>
  </si>
  <si>
    <t>Auxílio Alimentação:</t>
  </si>
  <si>
    <t>Auxílio Condutor: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</si>
  <si>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</si>
  <si>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</si>
  <si>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Sociedade</t>
  </si>
  <si>
    <t>Anexo 1.4 - Dados Gerais do Plano de Ação - Reprogramação 2016</t>
  </si>
  <si>
    <t>1. DADOS TÉCNICOS</t>
  </si>
  <si>
    <t>1.1 - Unidade Organizacional/Comissão/Colegiado:</t>
  </si>
  <si>
    <t>1.2 - Coordenador ou Responsável pela Unidade Organizacional/Comissão/Colegiado:</t>
  </si>
  <si>
    <t>1.3 - Tipo (Projeto ou Atividade):</t>
  </si>
  <si>
    <t>1.4 - Nome (Denominação do Projeto ou Atividade ):</t>
  </si>
  <si>
    <t>1.5 - Objetivo Geral (Projeto/Atividade):</t>
  </si>
  <si>
    <t>1.6 - Responsável  pelo Projeto ou Atividade:</t>
  </si>
  <si>
    <t>2. DADOS ESTRATÉGICOS</t>
  </si>
  <si>
    <t>2.1 - Objetivos Estratégicos Relacionados / Perspectiva</t>
  </si>
  <si>
    <t>2.1.1 - Objetivo Estratégico Principal</t>
  </si>
  <si>
    <t>Perspectiva</t>
  </si>
  <si>
    <t xml:space="preserve">Inclui os tipos </t>
  </si>
  <si>
    <t>2.1.2 - Objetivo Estratégico Secundário</t>
  </si>
  <si>
    <t>2.1.3 - Objetivo Estratégico Secundário</t>
  </si>
  <si>
    <t>2.2 - Resultados:</t>
  </si>
  <si>
    <t>2.3 - Período de Execução:</t>
  </si>
  <si>
    <t>Início:</t>
  </si>
  <si>
    <t>Término:</t>
  </si>
  <si>
    <t>3. DADOS ORÇAMENTÁRIOS</t>
  </si>
  <si>
    <t>3.1    Custo do Projeto/Atividade:</t>
  </si>
  <si>
    <t>3.1.1 Custeados com Recursos do Fundo de Apoio</t>
  </si>
  <si>
    <t>Parcial  R$</t>
  </si>
  <si>
    <t>4. COMENTÁRIOS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</si>
</sst>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&quot;R$&quot;\ * #,##0_-;\-&quot;R$&quot;\ * #,##0_-;_-&quot;R$&quot;\ * &quot;-&quot;??_-;_-@_-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?_);_(@_)"/>
    <numFmt numFmtId="171" formatCode="_-* #,##0.0_-;\-* #,##0.0_-;_-* &quot;-&quot;_-;_-@_-"/>
    <numFmt numFmtId="172" formatCode="_-* #,##0.00_-;\-* #,##0.00_-;_-* &quot;-&quot;_-;_-@_-"/>
    <numFmt numFmtId="173" formatCode="_-&quot;R$ &quot;* #,##0.00_-;&quot;-R$ &quot;* #,##0.00_-;_-&quot;R$ &quot;* \-??_-;_-@_-"/>
    <numFmt numFmtId="174" formatCode="_(* #,##0.00_);_(* \(#,##0.00\);_(* \-??_);_(@_)"/>
    <numFmt numFmtId="175" formatCode="* #,##0.00\ ;* \(#,##0.00\);* \-#\ ;@\ "/>
    <numFmt numFmtId="176" formatCode="&quot; R$ &quot;* #,##0.00\ ;&quot;-R$ &quot;* #,##0.00\ ;&quot; R$ &quot;* \-#\ ;@\ "/>
    <numFmt numFmtId="177" formatCode="&quot;R$&quot;\ #,##0.00"/>
  </numFmts>
  <fonts count="79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22"/>
      <name val="Calibri"/>
      <family val="2"/>
      <scheme val="minor"/>
    </font>
    <font>
      <b/>
      <sz val="9"/>
      <color indexed="81"/>
      <name val="Segoe U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20"/>
      <color rgb="FF20376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indexed="2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4"/>
      <color rgb="FF008080"/>
      <name val="Calibri"/>
      <family val="2"/>
      <scheme val="minor"/>
    </font>
    <font>
      <b/>
      <sz val="14"/>
      <color rgb="FF008080"/>
      <name val="Calibri"/>
      <family val="2"/>
    </font>
    <font>
      <sz val="11"/>
      <color rgb="FF000000"/>
      <name val="Calibri"/>
      <family val="2"/>
      <charset val="1"/>
    </font>
    <font>
      <b/>
      <sz val="20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53"/>
      <name val="Calibri"/>
      <family val="2"/>
      <scheme val="minor"/>
    </font>
    <font>
      <b/>
      <sz val="12"/>
      <color indexed="81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6"/>
      <color theme="1"/>
      <name val="Calibri"/>
      <family val="2"/>
      <scheme val="minor"/>
    </font>
    <font>
      <sz val="16"/>
      <color rgb="FF212121"/>
      <name val="OpenSansCondensedLight"/>
    </font>
    <font>
      <sz val="11"/>
      <color rgb="FF727272"/>
      <name val="OpenSansCondensedBold"/>
    </font>
    <font>
      <b/>
      <i/>
      <sz val="11"/>
      <color rgb="FFFF0000"/>
      <name val="Calibri"/>
      <family val="2"/>
      <scheme val="minor"/>
    </font>
    <font>
      <b/>
      <sz val="11"/>
      <color indexed="81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charset val="1"/>
    </font>
    <font>
      <sz val="16"/>
      <color theme="1"/>
      <name val="Calibri"/>
      <family val="2"/>
      <scheme val="minor"/>
    </font>
    <font>
      <sz val="8"/>
      <color rgb="FF434343"/>
      <name val="Tahoma"/>
      <family val="2"/>
    </font>
    <font>
      <sz val="7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FFFFFF"/>
      <name val="Tahoma"/>
      <family val="2"/>
    </font>
    <font>
      <sz val="11"/>
      <color rgb="FF434343"/>
      <name val="Tahoma"/>
      <family val="2"/>
    </font>
    <font>
      <sz val="14"/>
      <color rgb="FF434343"/>
      <name val="Tahoma"/>
      <family val="2"/>
    </font>
    <font>
      <sz val="9"/>
      <color rgb="FF000000"/>
      <name val="Tahoma"/>
      <family val="2"/>
    </font>
    <font>
      <sz val="9"/>
      <color rgb="FFFFFFFF"/>
      <name val="Times New Roman"/>
      <family val="2"/>
    </font>
    <font>
      <sz val="12"/>
      <color rgb="FF434343"/>
      <name val="Tahoma"/>
      <family val="2"/>
    </font>
    <font>
      <sz val="18"/>
      <color rgb="FF434343"/>
      <name val="Tahoma"/>
      <family val="2"/>
    </font>
    <font>
      <b/>
      <sz val="8"/>
      <color rgb="FF000000"/>
      <name val="Tahoma"/>
      <family val="2"/>
    </font>
    <font>
      <sz val="9"/>
      <color indexed="81"/>
      <name val="Segoe UI"/>
      <family val="2"/>
    </font>
    <font>
      <sz val="72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color theme="1" tint="0.499984740745262"/>
      <name val="Calibri"/>
      <family val="2"/>
      <scheme val="minor"/>
    </font>
    <font>
      <sz val="20"/>
      <color theme="1"/>
      <name val="Calibri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009999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  <bgColor rgb="FFE7E6E6"/>
      </patternFill>
    </fill>
    <fill>
      <patternFill patternType="solid">
        <fgColor theme="0"/>
        <bgColor rgb="FF94BAC3"/>
      </patternFill>
    </fill>
    <fill>
      <patternFill patternType="solid">
        <fgColor rgb="FFEAEAEA"/>
      </patternFill>
    </fill>
    <fill>
      <patternFill patternType="solid">
        <fgColor rgb="FF4682B4"/>
      </patternFill>
    </fill>
    <fill>
      <patternFill patternType="solid">
        <fgColor rgb="FFFFFFFF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medium">
        <color theme="0" tint="-0.149937437055574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rgb="FFE5E5E5"/>
      </right>
      <top/>
      <bottom/>
      <diagonal/>
    </border>
    <border>
      <left style="thin">
        <color rgb="FFE5E5E5"/>
      </left>
      <right/>
      <top/>
      <bottom/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</borders>
  <cellStyleXfs count="3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/>
    <xf numFmtId="0" fontId="50" fillId="16" borderId="0" applyNumberFormat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/>
    <xf numFmtId="0" fontId="4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/>
    <xf numFmtId="9" fontId="52" fillId="0" borderId="0" applyFill="0" applyBorder="0" applyProtection="0"/>
    <xf numFmtId="0" fontId="52" fillId="0" borderId="0"/>
    <xf numFmtId="173" fontId="52" fillId="0" borderId="0" applyFill="0" applyBorder="0" applyProtection="0"/>
    <xf numFmtId="174" fontId="52" fillId="0" borderId="0" applyBorder="0" applyProtection="0"/>
    <xf numFmtId="174" fontId="52" fillId="0" borderId="0" applyFill="0" applyBorder="0" applyProtection="0"/>
    <xf numFmtId="0" fontId="2" fillId="0" borderId="0"/>
    <xf numFmtId="0" fontId="41" fillId="0" borderId="0"/>
    <xf numFmtId="0" fontId="2" fillId="0" borderId="0"/>
    <xf numFmtId="0" fontId="59" fillId="18" borderId="0" applyBorder="0" applyProtection="0"/>
    <xf numFmtId="175" fontId="41" fillId="0" borderId="0" applyBorder="0" applyProtection="0"/>
    <xf numFmtId="176" fontId="41" fillId="0" borderId="0" applyBorder="0" applyProtection="0"/>
    <xf numFmtId="9" fontId="41" fillId="0" borderId="0" applyBorder="0" applyProtection="0"/>
    <xf numFmtId="0" fontId="2" fillId="0" borderId="0"/>
    <xf numFmtId="9" fontId="2" fillId="0" borderId="0" applyFont="0" applyFill="0" applyBorder="0" applyAlignment="0" applyProtection="0"/>
    <xf numFmtId="174" fontId="41" fillId="0" borderId="0" applyBorder="0" applyProtection="0"/>
    <xf numFmtId="0" fontId="58" fillId="0" borderId="0" applyNumberForma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0" xfId="0" applyFill="1"/>
    <xf numFmtId="0" fontId="11" fillId="0" borderId="0" xfId="0" applyFont="1"/>
    <xf numFmtId="0" fontId="11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1" fillId="0" borderId="0" xfId="0" applyFont="1" applyFill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21" fillId="9" borderId="0" xfId="0" applyFont="1" applyFill="1" applyAlignment="1">
      <alignment vertical="center"/>
    </xf>
    <xf numFmtId="0" fontId="0" fillId="0" borderId="0" xfId="0" applyFont="1"/>
    <xf numFmtId="0" fontId="5" fillId="3" borderId="0" xfId="0" applyFont="1" applyFill="1"/>
    <xf numFmtId="0" fontId="5" fillId="3" borderId="0" xfId="0" applyFont="1" applyFill="1" applyBorder="1"/>
    <xf numFmtId="0" fontId="0" fillId="9" borderId="0" xfId="0" applyFill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Alignment="1">
      <alignment vertical="center"/>
    </xf>
    <xf numFmtId="0" fontId="3" fillId="12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13" fillId="8" borderId="17" xfId="0" applyFont="1" applyFill="1" applyBorder="1" applyAlignment="1" applyProtection="1">
      <alignment vertical="center"/>
      <protection locked="0"/>
    </xf>
    <xf numFmtId="0" fontId="13" fillId="8" borderId="17" xfId="0" applyFont="1" applyFill="1" applyBorder="1" applyAlignment="1"/>
    <xf numFmtId="0" fontId="13" fillId="8" borderId="9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>
      <alignment vertical="center" wrapText="1"/>
    </xf>
    <xf numFmtId="165" fontId="4" fillId="4" borderId="7" xfId="0" applyNumberFormat="1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3" fillId="10" borderId="7" xfId="0" applyFont="1" applyFill="1" applyBorder="1" applyAlignment="1">
      <alignment vertical="center" wrapText="1"/>
    </xf>
    <xf numFmtId="0" fontId="8" fillId="3" borderId="7" xfId="0" applyFont="1" applyFill="1" applyBorder="1" applyAlignment="1" applyProtection="1">
      <alignment vertical="center" wrapText="1"/>
      <protection locked="0"/>
    </xf>
    <xf numFmtId="0" fontId="16" fillId="3" borderId="12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41" fontId="13" fillId="13" borderId="7" xfId="0" applyNumberFormat="1" applyFont="1" applyFill="1" applyBorder="1" applyAlignment="1">
      <alignment vertical="center" wrapText="1"/>
    </xf>
    <xf numFmtId="165" fontId="13" fillId="1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8" fillId="8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3" borderId="7" xfId="0" applyFont="1" applyFill="1" applyBorder="1" applyAlignment="1">
      <alignment vertical="center" wrapText="1"/>
    </xf>
    <xf numFmtId="0" fontId="20" fillId="8" borderId="7" xfId="0" applyFont="1" applyFill="1" applyBorder="1" applyAlignment="1">
      <alignment horizontal="center" vertical="center" textRotation="90" wrapText="1" readingOrder="1"/>
    </xf>
    <xf numFmtId="169" fontId="12" fillId="8" borderId="19" xfId="3" applyNumberFormat="1" applyFont="1" applyFill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2" xfId="0" applyBorder="1"/>
    <xf numFmtId="0" fontId="0" fillId="0" borderId="13" xfId="0" applyBorder="1"/>
    <xf numFmtId="0" fontId="14" fillId="8" borderId="7" xfId="0" applyFont="1" applyFill="1" applyBorder="1" applyAlignment="1">
      <alignment horizontal="center" vertical="center" wrapText="1" readingOrder="1"/>
    </xf>
    <xf numFmtId="0" fontId="14" fillId="8" borderId="11" xfId="0" applyFont="1" applyFill="1" applyBorder="1" applyAlignment="1">
      <alignment horizontal="left" vertical="top" wrapText="1" indent="4" readingOrder="1"/>
    </xf>
    <xf numFmtId="0" fontId="33" fillId="0" borderId="7" xfId="0" applyFont="1" applyFill="1" applyBorder="1" applyAlignment="1">
      <alignment vertical="center" wrapText="1" readingOrder="1"/>
    </xf>
    <xf numFmtId="0" fontId="22" fillId="6" borderId="8" xfId="0" applyFont="1" applyFill="1" applyBorder="1" applyAlignment="1">
      <alignment horizontal="left" vertical="center" wrapText="1" readingOrder="1"/>
    </xf>
    <xf numFmtId="0" fontId="33" fillId="6" borderId="6" xfId="0" applyFont="1" applyFill="1" applyBorder="1" applyAlignment="1">
      <alignment horizontal="left" vertical="center" readingOrder="1"/>
    </xf>
    <xf numFmtId="0" fontId="33" fillId="6" borderId="10" xfId="0" applyFont="1" applyFill="1" applyBorder="1" applyAlignment="1">
      <alignment horizontal="left" vertical="center" readingOrder="1"/>
    </xf>
    <xf numFmtId="41" fontId="10" fillId="3" borderId="0" xfId="0" applyNumberFormat="1" applyFont="1" applyFill="1" applyBorder="1" applyAlignment="1">
      <alignment horizontal="center" vertical="center" wrapText="1"/>
    </xf>
    <xf numFmtId="170" fontId="10" fillId="4" borderId="7" xfId="3" applyNumberFormat="1" applyFont="1" applyFill="1" applyBorder="1" applyAlignment="1">
      <alignment horizontal="left" vertical="center" wrapText="1"/>
    </xf>
    <xf numFmtId="170" fontId="10" fillId="4" borderId="7" xfId="3" applyNumberFormat="1" applyFont="1" applyFill="1" applyBorder="1" applyAlignment="1">
      <alignment horizontal="right" vertical="center" wrapText="1"/>
    </xf>
    <xf numFmtId="170" fontId="14" fillId="8" borderId="7" xfId="3" applyNumberFormat="1" applyFont="1" applyFill="1" applyBorder="1" applyAlignment="1">
      <alignment horizontal="left" vertical="center" wrapText="1"/>
    </xf>
    <xf numFmtId="168" fontId="10" fillId="3" borderId="0" xfId="3" applyNumberFormat="1" applyFont="1" applyFill="1" applyBorder="1" applyAlignment="1">
      <alignment horizontal="right" vertical="center" wrapText="1"/>
    </xf>
    <xf numFmtId="164" fontId="10" fillId="3" borderId="0" xfId="3" applyFont="1" applyFill="1" applyBorder="1" applyAlignment="1">
      <alignment horizontal="left" vertical="center" wrapText="1"/>
    </xf>
    <xf numFmtId="168" fontId="10" fillId="3" borderId="0" xfId="3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41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textRotation="90"/>
    </xf>
    <xf numFmtId="0" fontId="10" fillId="3" borderId="0" xfId="0" applyFont="1" applyFill="1" applyBorder="1" applyAlignment="1">
      <alignment horizontal="left" vertical="center" wrapText="1"/>
    </xf>
    <xf numFmtId="41" fontId="10" fillId="3" borderId="7" xfId="0" applyNumberFormat="1" applyFont="1" applyFill="1" applyBorder="1" applyAlignment="1">
      <alignment horizontal="center" vertical="center" wrapText="1"/>
    </xf>
    <xf numFmtId="41" fontId="10" fillId="11" borderId="7" xfId="0" applyNumberFormat="1" applyFont="1" applyFill="1" applyBorder="1" applyAlignment="1">
      <alignment horizontal="center" vertical="center" wrapText="1"/>
    </xf>
    <xf numFmtId="167" fontId="10" fillId="4" borderId="7" xfId="3" applyNumberFormat="1" applyFont="1" applyFill="1" applyBorder="1" applyAlignment="1">
      <alignment horizontal="right" vertical="center" wrapText="1"/>
    </xf>
    <xf numFmtId="167" fontId="10" fillId="4" borderId="7" xfId="2" applyNumberFormat="1" applyFont="1" applyFill="1" applyBorder="1" applyAlignment="1">
      <alignment horizontal="right" vertical="center" wrapText="1"/>
    </xf>
    <xf numFmtId="170" fontId="10" fillId="4" borderId="7" xfId="3" applyNumberFormat="1" applyFont="1" applyFill="1" applyBorder="1" applyAlignment="1" applyProtection="1">
      <alignment horizontal="left" vertical="center" wrapText="1"/>
    </xf>
    <xf numFmtId="41" fontId="13" fillId="8" borderId="7" xfId="0" applyNumberFormat="1" applyFont="1" applyFill="1" applyBorder="1" applyAlignment="1" applyProtection="1">
      <alignment horizontal="center" vertical="center" wrapText="1"/>
    </xf>
    <xf numFmtId="165" fontId="13" fillId="8" borderId="7" xfId="0" applyNumberFormat="1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horizontal="centerContinuous" vertical="center" wrapText="1"/>
    </xf>
    <xf numFmtId="0" fontId="29" fillId="3" borderId="7" xfId="0" applyFont="1" applyFill="1" applyBorder="1" applyAlignment="1">
      <alignment horizontal="center" vertical="center" wrapText="1"/>
    </xf>
    <xf numFmtId="9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21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horizontal="centerContinuous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Continuous" vertical="center" wrapText="1"/>
    </xf>
    <xf numFmtId="2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41" xfId="0" applyFont="1" applyFill="1" applyBorder="1" applyAlignment="1">
      <alignment horizontal="center" vertical="top" wrapText="1"/>
    </xf>
    <xf numFmtId="0" fontId="29" fillId="3" borderId="46" xfId="0" applyFont="1" applyFill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9" xfId="0" applyFont="1" applyBorder="1" applyAlignment="1">
      <alignment horizontal="center" vertical="top" wrapText="1"/>
    </xf>
    <xf numFmtId="0" fontId="29" fillId="3" borderId="46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center" wrapText="1"/>
    </xf>
    <xf numFmtId="0" fontId="8" fillId="0" borderId="0" xfId="0" applyFont="1"/>
    <xf numFmtId="0" fontId="29" fillId="3" borderId="56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horizontal="center" vertical="top" wrapText="1"/>
    </xf>
    <xf numFmtId="0" fontId="8" fillId="3" borderId="52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 wrapText="1"/>
    </xf>
    <xf numFmtId="0" fontId="29" fillId="3" borderId="57" xfId="0" applyFont="1" applyFill="1" applyBorder="1" applyAlignment="1">
      <alignment horizontal="center" vertical="top" wrapText="1"/>
    </xf>
    <xf numFmtId="0" fontId="29" fillId="3" borderId="1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left" vertical="center" wrapText="1"/>
    </xf>
    <xf numFmtId="0" fontId="29" fillId="15" borderId="46" xfId="4" applyFont="1" applyFill="1" applyBorder="1" applyAlignment="1">
      <alignment horizontal="center" vertical="top" wrapText="1"/>
    </xf>
    <xf numFmtId="0" fontId="29" fillId="14" borderId="46" xfId="4" applyFont="1" applyFill="1" applyBorder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" borderId="41" xfId="0" applyFont="1" applyFill="1" applyBorder="1" applyAlignment="1">
      <alignment horizontal="center" wrapText="1"/>
    </xf>
    <xf numFmtId="0" fontId="29" fillId="3" borderId="41" xfId="0" applyFont="1" applyFill="1" applyBorder="1" applyAlignment="1">
      <alignment horizontal="center" wrapText="1"/>
    </xf>
    <xf numFmtId="0" fontId="29" fillId="3" borderId="43" xfId="0" applyFont="1" applyFill="1" applyBorder="1" applyAlignment="1">
      <alignment vertical="center" wrapText="1"/>
    </xf>
    <xf numFmtId="0" fontId="29" fillId="15" borderId="41" xfId="4" applyFont="1" applyFill="1" applyBorder="1" applyAlignment="1">
      <alignment horizontal="center" wrapText="1"/>
    </xf>
    <xf numFmtId="0" fontId="29" fillId="14" borderId="57" xfId="4" applyFont="1" applyFill="1" applyBorder="1" applyAlignment="1">
      <alignment horizontal="center" vertical="top" wrapText="1"/>
    </xf>
    <xf numFmtId="41" fontId="4" fillId="4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0" xfId="0" applyFont="1"/>
    <xf numFmtId="0" fontId="55" fillId="0" borderId="0" xfId="0" applyFont="1" applyAlignment="1">
      <alignment horizontal="left" vertical="center" wrapText="1"/>
    </xf>
    <xf numFmtId="9" fontId="18" fillId="8" borderId="7" xfId="2" applyFont="1" applyFill="1" applyBorder="1" applyAlignment="1">
      <alignment horizontal="center" vertical="center" wrapText="1"/>
    </xf>
    <xf numFmtId="3" fontId="8" fillId="0" borderId="42" xfId="0" applyNumberFormat="1" applyFont="1" applyBorder="1" applyAlignment="1">
      <alignment horizontal="center" vertical="center"/>
    </xf>
    <xf numFmtId="10" fontId="5" fillId="0" borderId="0" xfId="2" applyNumberFormat="1" applyFont="1"/>
    <xf numFmtId="167" fontId="11" fillId="3" borderId="0" xfId="2" applyNumberFormat="1" applyFont="1" applyFill="1"/>
    <xf numFmtId="10" fontId="60" fillId="0" borderId="0" xfId="2" applyNumberFormat="1" applyFont="1" applyAlignment="1">
      <alignment vertical="center" wrapText="1"/>
    </xf>
    <xf numFmtId="0" fontId="62" fillId="20" borderId="0" xfId="0" applyFont="1" applyFill="1" applyAlignment="1">
      <alignment horizontal="left" vertical="top" wrapText="1" shrinkToFit="1" readingOrder="1"/>
    </xf>
    <xf numFmtId="0" fontId="62" fillId="0" borderId="0" xfId="0" applyFont="1" applyAlignment="1">
      <alignment horizontal="left" vertical="top" wrapText="1" shrinkToFit="1" readingOrder="1"/>
    </xf>
    <xf numFmtId="0" fontId="64" fillId="21" borderId="61" xfId="0" applyFont="1" applyFill="1" applyBorder="1" applyAlignment="1">
      <alignment horizontal="right" vertical="center" wrapText="1" shrinkToFit="1" readingOrder="1"/>
    </xf>
    <xf numFmtId="0" fontId="64" fillId="21" borderId="62" xfId="0" applyFont="1" applyFill="1" applyBorder="1" applyAlignment="1">
      <alignment horizontal="left" vertical="center" wrapText="1" shrinkToFit="1" readingOrder="1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center" wrapText="1"/>
    </xf>
    <xf numFmtId="164" fontId="60" fillId="0" borderId="0" xfId="3" applyFont="1" applyAlignment="1">
      <alignment wrapText="1"/>
    </xf>
    <xf numFmtId="164" fontId="60" fillId="0" borderId="0" xfId="3" applyFont="1" applyAlignment="1">
      <alignment vertical="center" wrapText="1"/>
    </xf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0" fontId="74" fillId="14" borderId="20" xfId="25" applyFont="1" applyFill="1" applyBorder="1" applyAlignment="1" applyProtection="1">
      <alignment horizontal="left" vertical="center" wrapText="1"/>
      <protection locked="0"/>
    </xf>
    <xf numFmtId="0" fontId="74" fillId="14" borderId="7" xfId="25" applyFont="1" applyFill="1" applyBorder="1" applyAlignment="1" applyProtection="1">
      <alignment horizontal="center" vertical="center" wrapText="1"/>
      <protection locked="0"/>
    </xf>
    <xf numFmtId="0" fontId="74" fillId="14" borderId="7" xfId="25" applyFont="1" applyFill="1" applyBorder="1" applyAlignment="1" applyProtection="1">
      <alignment vertical="center" wrapText="1"/>
      <protection locked="0"/>
    </xf>
    <xf numFmtId="0" fontId="74" fillId="19" borderId="7" xfId="25" applyFont="1" applyFill="1" applyBorder="1" applyAlignment="1" applyProtection="1">
      <alignment vertical="center" wrapText="1"/>
      <protection locked="0"/>
    </xf>
    <xf numFmtId="169" fontId="60" fillId="3" borderId="7" xfId="3" applyNumberFormat="1" applyFont="1" applyFill="1" applyBorder="1" applyAlignment="1" applyProtection="1">
      <alignment horizontal="center" vertical="center" wrapText="1"/>
      <protection locked="0"/>
    </xf>
    <xf numFmtId="171" fontId="60" fillId="4" borderId="18" xfId="0" applyNumberFormat="1" applyFont="1" applyFill="1" applyBorder="1" applyAlignment="1">
      <alignment vertical="center" wrapText="1"/>
    </xf>
    <xf numFmtId="3" fontId="60" fillId="0" borderId="0" xfId="0" applyNumberFormat="1" applyFont="1" applyAlignment="1">
      <alignment vertical="center" wrapText="1"/>
    </xf>
    <xf numFmtId="167" fontId="60" fillId="0" borderId="0" xfId="2" applyNumberFormat="1" applyFont="1" applyAlignment="1">
      <alignment vertical="center" wrapText="1"/>
    </xf>
    <xf numFmtId="0" fontId="74" fillId="14" borderId="7" xfId="4" applyFont="1" applyFill="1" applyBorder="1" applyAlignment="1" applyProtection="1">
      <alignment horizontal="center" vertical="center" wrapText="1"/>
      <protection locked="0"/>
    </xf>
    <xf numFmtId="0" fontId="74" fillId="14" borderId="7" xfId="4" applyFont="1" applyFill="1" applyBorder="1" applyAlignment="1" applyProtection="1">
      <alignment vertical="center" wrapText="1"/>
      <protection locked="0"/>
    </xf>
    <xf numFmtId="4" fontId="60" fillId="0" borderId="0" xfId="0" applyNumberFormat="1" applyFont="1" applyAlignment="1">
      <alignment wrapText="1"/>
    </xf>
    <xf numFmtId="43" fontId="60" fillId="0" borderId="0" xfId="0" applyNumberFormat="1" applyFont="1" applyAlignment="1">
      <alignment wrapText="1"/>
    </xf>
    <xf numFmtId="164" fontId="60" fillId="3" borderId="7" xfId="3" applyFont="1" applyFill="1" applyBorder="1" applyAlignment="1" applyProtection="1">
      <alignment horizontal="center" vertical="center" wrapText="1"/>
      <protection locked="0"/>
    </xf>
    <xf numFmtId="164" fontId="60" fillId="4" borderId="7" xfId="3" applyFont="1" applyFill="1" applyBorder="1" applyAlignment="1">
      <alignment vertical="center" wrapText="1"/>
    </xf>
    <xf numFmtId="164" fontId="12" fillId="8" borderId="19" xfId="3" applyFont="1" applyFill="1" applyBorder="1" applyAlignment="1">
      <alignment horizontal="right" vertical="center" wrapText="1"/>
    </xf>
    <xf numFmtId="164" fontId="12" fillId="8" borderId="19" xfId="3" applyFont="1" applyFill="1" applyBorder="1" applyAlignment="1">
      <alignment vertical="center" wrapText="1"/>
    </xf>
    <xf numFmtId="0" fontId="5" fillId="0" borderId="0" xfId="0" applyFont="1"/>
    <xf numFmtId="0" fontId="13" fillId="8" borderId="21" xfId="0" applyFont="1" applyFill="1" applyBorder="1" applyAlignment="1" applyProtection="1">
      <alignment vertical="center"/>
      <protection locked="0"/>
    </xf>
    <xf numFmtId="0" fontId="13" fillId="8" borderId="21" xfId="0" applyFont="1" applyFill="1" applyBorder="1" applyAlignment="1">
      <alignment vertical="center"/>
    </xf>
    <xf numFmtId="0" fontId="13" fillId="8" borderId="9" xfId="0" applyFont="1" applyFill="1" applyBorder="1" applyAlignment="1"/>
    <xf numFmtId="0" fontId="4" fillId="0" borderId="0" xfId="0" applyFont="1" applyBorder="1" applyAlignment="1"/>
    <xf numFmtId="41" fontId="4" fillId="13" borderId="7" xfId="0" applyNumberFormat="1" applyFont="1" applyFill="1" applyBorder="1" applyAlignment="1">
      <alignment vertical="center" wrapText="1"/>
    </xf>
    <xf numFmtId="41" fontId="4" fillId="3" borderId="7" xfId="0" applyNumberFormat="1" applyFont="1" applyFill="1" applyBorder="1" applyAlignment="1">
      <alignment vertical="center" wrapText="1"/>
    </xf>
    <xf numFmtId="172" fontId="4" fillId="3" borderId="7" xfId="0" applyNumberFormat="1" applyFont="1" applyFill="1" applyBorder="1" applyAlignment="1">
      <alignment vertical="center" wrapText="1"/>
    </xf>
    <xf numFmtId="164" fontId="4" fillId="4" borderId="7" xfId="3" applyFont="1" applyFill="1" applyBorder="1" applyAlignment="1">
      <alignment vertical="center" wrapText="1"/>
    </xf>
    <xf numFmtId="164" fontId="5" fillId="4" borderId="7" xfId="3" applyFont="1" applyFill="1" applyBorder="1" applyAlignment="1" applyProtection="1">
      <alignment vertical="center" wrapText="1"/>
      <protection locked="0"/>
    </xf>
    <xf numFmtId="164" fontId="5" fillId="3" borderId="7" xfId="3" applyFont="1" applyFill="1" applyBorder="1" applyAlignment="1" applyProtection="1">
      <alignment vertical="center" wrapText="1"/>
      <protection locked="0"/>
    </xf>
    <xf numFmtId="164" fontId="5" fillId="3" borderId="7" xfId="3" applyFont="1" applyFill="1" applyBorder="1" applyAlignment="1" applyProtection="1">
      <alignment vertical="center"/>
      <protection locked="0"/>
    </xf>
    <xf numFmtId="164" fontId="4" fillId="3" borderId="7" xfId="3" applyFont="1" applyFill="1" applyBorder="1" applyAlignment="1" applyProtection="1">
      <alignment vertical="center"/>
      <protection locked="0"/>
    </xf>
    <xf numFmtId="164" fontId="4" fillId="3" borderId="7" xfId="3" applyFont="1" applyFill="1" applyBorder="1" applyAlignment="1" applyProtection="1">
      <alignment vertical="center" wrapText="1"/>
      <protection locked="0"/>
    </xf>
    <xf numFmtId="164" fontId="4" fillId="13" borderId="7" xfId="3" applyFont="1" applyFill="1" applyBorder="1" applyAlignment="1">
      <alignment vertical="center" wrapText="1"/>
    </xf>
    <xf numFmtId="164" fontId="4" fillId="4" borderId="7" xfId="3" applyFont="1" applyFill="1" applyBorder="1" applyAlignment="1">
      <alignment horizontal="center" vertical="center" wrapText="1"/>
    </xf>
    <xf numFmtId="164" fontId="4" fillId="3" borderId="7" xfId="3" applyFont="1" applyFill="1" applyBorder="1" applyAlignment="1">
      <alignment vertical="center" wrapText="1"/>
    </xf>
    <xf numFmtId="164" fontId="5" fillId="0" borderId="0" xfId="3" applyFont="1" applyAlignment="1">
      <alignment horizontal="center" vertical="center"/>
    </xf>
    <xf numFmtId="164" fontId="5" fillId="0" borderId="0" xfId="3" applyFont="1" applyAlignment="1">
      <alignment horizontal="center" vertical="center" wrapText="1"/>
    </xf>
    <xf numFmtId="164" fontId="5" fillId="9" borderId="0" xfId="3" applyFont="1" applyFill="1" applyAlignment="1">
      <alignment horizontal="center" vertical="center"/>
    </xf>
    <xf numFmtId="164" fontId="10" fillId="3" borderId="7" xfId="3" applyFont="1" applyFill="1" applyBorder="1" applyAlignment="1">
      <alignment horizontal="right" vertical="center" wrapText="1"/>
    </xf>
    <xf numFmtId="164" fontId="10" fillId="3" borderId="7" xfId="3" applyFont="1" applyFill="1" applyBorder="1" applyAlignment="1">
      <alignment horizontal="left" vertical="center" wrapText="1"/>
    </xf>
    <xf numFmtId="164" fontId="10" fillId="4" borderId="7" xfId="3" applyFont="1" applyFill="1" applyBorder="1" applyAlignment="1">
      <alignment horizontal="left" vertical="center" wrapText="1"/>
    </xf>
    <xf numFmtId="164" fontId="10" fillId="4" borderId="7" xfId="3" applyFont="1" applyFill="1" applyBorder="1" applyAlignment="1">
      <alignment horizontal="right" vertical="center" wrapText="1"/>
    </xf>
    <xf numFmtId="164" fontId="10" fillId="4" borderId="7" xfId="3" applyFont="1" applyFill="1" applyBorder="1" applyAlignment="1" applyProtection="1">
      <alignment horizontal="left" vertical="center" wrapText="1"/>
    </xf>
    <xf numFmtId="164" fontId="14" fillId="8" borderId="7" xfId="3" applyFont="1" applyFill="1" applyBorder="1" applyAlignment="1">
      <alignment horizontal="left" vertical="center" wrapText="1"/>
    </xf>
    <xf numFmtId="168" fontId="11" fillId="3" borderId="0" xfId="3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vertical="center"/>
    </xf>
    <xf numFmtId="164" fontId="10" fillId="3" borderId="0" xfId="3" applyFont="1" applyFill="1" applyBorder="1" applyAlignment="1">
      <alignment horizontal="center" vertical="center" wrapText="1"/>
    </xf>
    <xf numFmtId="167" fontId="10" fillId="3" borderId="0" xfId="2" applyNumberFormat="1" applyFont="1" applyFill="1" applyBorder="1" applyAlignment="1">
      <alignment horizontal="right" vertical="center" wrapText="1"/>
    </xf>
    <xf numFmtId="164" fontId="60" fillId="0" borderId="7" xfId="3" applyFont="1" applyFill="1" applyBorder="1" applyAlignment="1" applyProtection="1">
      <alignment horizontal="center" vertical="center" wrapText="1"/>
      <protection locked="0"/>
    </xf>
    <xf numFmtId="0" fontId="74" fillId="0" borderId="7" xfId="25" applyFont="1" applyFill="1" applyBorder="1" applyAlignment="1" applyProtection="1">
      <alignment vertical="center" wrapText="1"/>
      <protection locked="0"/>
    </xf>
    <xf numFmtId="164" fontId="4" fillId="0" borderId="7" xfId="3" applyFont="1" applyFill="1" applyBorder="1" applyAlignment="1" applyProtection="1">
      <alignment vertical="center" wrapText="1"/>
      <protection locked="0"/>
    </xf>
    <xf numFmtId="164" fontId="10" fillId="0" borderId="7" xfId="3" applyFont="1" applyFill="1" applyBorder="1" applyAlignment="1">
      <alignment horizontal="left" vertical="center" wrapText="1"/>
    </xf>
    <xf numFmtId="164" fontId="10" fillId="0" borderId="7" xfId="3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23" xfId="0" applyFont="1" applyFill="1" applyBorder="1" applyAlignment="1"/>
    <xf numFmtId="0" fontId="11" fillId="7" borderId="24" xfId="0" applyFont="1" applyFill="1" applyBorder="1" applyAlignment="1"/>
    <xf numFmtId="0" fontId="11" fillId="7" borderId="13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177" fontId="11" fillId="7" borderId="0" xfId="0" applyNumberFormat="1" applyFont="1" applyFill="1" applyBorder="1" applyAlignment="1">
      <alignment horizontal="center"/>
    </xf>
    <xf numFmtId="177" fontId="11" fillId="7" borderId="15" xfId="0" applyNumberFormat="1" applyFont="1" applyFill="1" applyBorder="1" applyAlignment="1">
      <alignment horizontal="center"/>
    </xf>
    <xf numFmtId="177" fontId="11" fillId="7" borderId="23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 horizontal="right" vertical="center" wrapText="1" shrinkToFit="1" readingOrder="1"/>
    </xf>
    <xf numFmtId="4" fontId="62" fillId="20" borderId="0" xfId="0" applyNumberFormat="1" applyFont="1" applyFill="1" applyAlignment="1">
      <alignment horizontal="right" vertical="center" wrapText="1" shrinkToFit="1" readingOrder="1"/>
    </xf>
    <xf numFmtId="0" fontId="64" fillId="21" borderId="61" xfId="0" applyFont="1" applyFill="1" applyBorder="1" applyAlignment="1">
      <alignment horizontal="center" vertical="center" wrapText="1" shrinkToFit="1" readingOrder="1"/>
    </xf>
    <xf numFmtId="4" fontId="71" fillId="20" borderId="0" xfId="0" applyNumberFormat="1" applyFont="1" applyFill="1" applyAlignment="1">
      <alignment horizontal="right" vertical="center" wrapText="1" shrinkToFit="1" readingOrder="1"/>
    </xf>
    <xf numFmtId="0" fontId="71" fillId="20" borderId="0" xfId="0" applyFont="1" applyFill="1" applyAlignment="1">
      <alignment horizontal="right" vertical="center" wrapText="1" shrinkToFit="1" readingOrder="1"/>
    </xf>
    <xf numFmtId="4" fontId="63" fillId="0" borderId="0" xfId="0" applyNumberFormat="1" applyFont="1" applyAlignment="1">
      <alignment horizontal="right" vertical="center" wrapText="1" shrinkToFit="1" readingOrder="1"/>
    </xf>
    <xf numFmtId="0" fontId="63" fillId="0" borderId="0" xfId="0" applyFont="1" applyAlignment="1">
      <alignment horizontal="right" vertical="center" wrapText="1" shrinkToFit="1" readingOrder="1"/>
    </xf>
    <xf numFmtId="4" fontId="71" fillId="0" borderId="0" xfId="0" applyNumberFormat="1" applyFont="1" applyAlignment="1">
      <alignment horizontal="right" vertical="center" wrapText="1" shrinkToFit="1" readingOrder="1"/>
    </xf>
    <xf numFmtId="0" fontId="71" fillId="0" borderId="0" xfId="0" applyFont="1" applyAlignment="1">
      <alignment horizontal="right" vertical="center" wrapText="1" shrinkToFit="1" readingOrder="1"/>
    </xf>
    <xf numFmtId="4" fontId="63" fillId="20" borderId="0" xfId="0" applyNumberFormat="1" applyFont="1" applyFill="1" applyAlignment="1">
      <alignment horizontal="right" vertical="center" wrapText="1" shrinkToFit="1" readingOrder="1"/>
    </xf>
    <xf numFmtId="0" fontId="63" fillId="20" borderId="0" xfId="0" applyFont="1" applyFill="1" applyAlignment="1">
      <alignment horizontal="right" vertical="center" wrapText="1" shrinkToFit="1" readingOrder="1"/>
    </xf>
    <xf numFmtId="0" fontId="64" fillId="21" borderId="0" xfId="0" applyFont="1" applyFill="1" applyAlignment="1">
      <alignment horizontal="right" vertical="center" wrapText="1" shrinkToFit="1" readingOrder="1"/>
    </xf>
    <xf numFmtId="41" fontId="14" fillId="8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2" fillId="9" borderId="12" xfId="0" applyFont="1" applyFill="1" applyBorder="1" applyAlignment="1">
      <alignment horizontal="center"/>
    </xf>
    <xf numFmtId="0" fontId="32" fillId="9" borderId="0" xfId="0" applyFont="1" applyFill="1" applyBorder="1" applyAlignment="1">
      <alignment horizontal="center"/>
    </xf>
    <xf numFmtId="0" fontId="32" fillId="9" borderId="13" xfId="0" applyFont="1" applyFill="1" applyBorder="1" applyAlignment="1">
      <alignment horizontal="center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22" fillId="5" borderId="7" xfId="0" applyFont="1" applyFill="1" applyBorder="1" applyAlignment="1">
      <alignment horizontal="left" vertical="center" wrapText="1" readingOrder="1"/>
    </xf>
    <xf numFmtId="0" fontId="12" fillId="8" borderId="7" xfId="0" applyFont="1" applyFill="1" applyBorder="1" applyAlignment="1">
      <alignment horizontal="left" vertical="center"/>
    </xf>
    <xf numFmtId="0" fontId="21" fillId="9" borderId="33" xfId="0" applyFont="1" applyFill="1" applyBorder="1" applyAlignment="1">
      <alignment horizontal="left" vertical="center" wrapText="1"/>
    </xf>
    <xf numFmtId="0" fontId="18" fillId="8" borderId="7" xfId="0" applyFont="1" applyFill="1" applyBorder="1" applyAlignment="1">
      <alignment horizontal="left" vertical="center"/>
    </xf>
    <xf numFmtId="0" fontId="16" fillId="8" borderId="7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left" vertical="center" wrapText="1"/>
    </xf>
    <xf numFmtId="0" fontId="18" fillId="8" borderId="17" xfId="0" applyFont="1" applyFill="1" applyBorder="1" applyAlignment="1">
      <alignment horizontal="left" vertical="center" wrapText="1"/>
    </xf>
    <xf numFmtId="0" fontId="18" fillId="8" borderId="9" xfId="0" applyFont="1" applyFill="1" applyBorder="1" applyAlignment="1">
      <alignment horizontal="left" vertical="center" wrapText="1"/>
    </xf>
    <xf numFmtId="0" fontId="27" fillId="9" borderId="22" xfId="0" applyFont="1" applyFill="1" applyBorder="1" applyAlignment="1">
      <alignment horizontal="left" vertical="center" wrapText="1"/>
    </xf>
    <xf numFmtId="0" fontId="27" fillId="9" borderId="23" xfId="0" applyFont="1" applyFill="1" applyBorder="1" applyAlignment="1">
      <alignment horizontal="left" vertical="center" wrapText="1"/>
    </xf>
    <xf numFmtId="0" fontId="27" fillId="9" borderId="24" xfId="0" applyFont="1" applyFill="1" applyBorder="1" applyAlignment="1">
      <alignment horizontal="left" vertical="center" wrapText="1"/>
    </xf>
    <xf numFmtId="0" fontId="29" fillId="3" borderId="43" xfId="0" applyFont="1" applyFill="1" applyBorder="1" applyAlignment="1">
      <alignment horizontal="left" vertical="center" wrapText="1"/>
    </xf>
    <xf numFmtId="0" fontId="29" fillId="3" borderId="44" xfId="0" applyFont="1" applyFill="1" applyBorder="1" applyAlignment="1">
      <alignment horizontal="left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wrapText="1"/>
    </xf>
    <xf numFmtId="0" fontId="29" fillId="3" borderId="44" xfId="0" applyFont="1" applyFill="1" applyBorder="1" applyAlignment="1">
      <alignment horizontal="center" vertical="top" wrapText="1"/>
    </xf>
    <xf numFmtId="0" fontId="30" fillId="9" borderId="12" xfId="0" applyFont="1" applyFill="1" applyBorder="1" applyAlignment="1">
      <alignment horizontal="left" vertical="center" wrapText="1"/>
    </xf>
    <xf numFmtId="0" fontId="30" fillId="9" borderId="0" xfId="0" applyFont="1" applyFill="1" applyBorder="1" applyAlignment="1">
      <alignment horizontal="left" vertical="center" wrapText="1"/>
    </xf>
    <xf numFmtId="0" fontId="18" fillId="8" borderId="31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left" vertical="center"/>
    </xf>
    <xf numFmtId="0" fontId="16" fillId="8" borderId="31" xfId="0" applyFont="1" applyFill="1" applyBorder="1" applyAlignment="1">
      <alignment horizontal="left" vertical="center" wrapText="1"/>
    </xf>
    <xf numFmtId="0" fontId="16" fillId="8" borderId="0" xfId="0" applyFont="1" applyFill="1" applyBorder="1" applyAlignment="1">
      <alignment horizontal="left" vertical="center" wrapText="1"/>
    </xf>
    <xf numFmtId="9" fontId="8" fillId="0" borderId="58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0" fontId="8" fillId="0" borderId="44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2" fontId="8" fillId="0" borderId="58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9" fontId="8" fillId="0" borderId="44" xfId="2" applyFont="1" applyBorder="1" applyAlignment="1">
      <alignment horizontal="center" vertical="center"/>
    </xf>
    <xf numFmtId="9" fontId="8" fillId="0" borderId="55" xfId="2" applyFont="1" applyBorder="1" applyAlignment="1">
      <alignment horizontal="center" vertical="center"/>
    </xf>
    <xf numFmtId="9" fontId="8" fillId="0" borderId="43" xfId="2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29" fillId="3" borderId="39" xfId="0" applyFont="1" applyFill="1" applyBorder="1" applyAlignment="1">
      <alignment horizontal="left" vertical="center" wrapText="1"/>
    </xf>
    <xf numFmtId="0" fontId="29" fillId="15" borderId="42" xfId="4" applyFont="1" applyFill="1" applyBorder="1" applyAlignment="1">
      <alignment horizontal="center" vertical="center" wrapText="1"/>
    </xf>
    <xf numFmtId="0" fontId="29" fillId="15" borderId="45" xfId="4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left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9" fontId="8" fillId="0" borderId="44" xfId="2" applyNumberFormat="1" applyFont="1" applyFill="1" applyBorder="1" applyAlignment="1">
      <alignment horizontal="center" vertical="center"/>
    </xf>
    <xf numFmtId="9" fontId="8" fillId="0" borderId="55" xfId="2" applyNumberFormat="1" applyFont="1" applyFill="1" applyBorder="1" applyAlignment="1">
      <alignment horizontal="center" vertical="center"/>
    </xf>
    <xf numFmtId="9" fontId="76" fillId="0" borderId="58" xfId="4" applyNumberFormat="1" applyFont="1" applyBorder="1" applyAlignment="1" applyProtection="1">
      <alignment horizontal="center" vertical="center" wrapText="1"/>
      <protection locked="0"/>
    </xf>
    <xf numFmtId="9" fontId="76" fillId="0" borderId="55" xfId="4" applyNumberFormat="1" applyFont="1" applyBorder="1" applyAlignment="1" applyProtection="1">
      <alignment horizontal="center" vertical="center" wrapText="1"/>
      <protection locked="0"/>
    </xf>
    <xf numFmtId="9" fontId="76" fillId="0" borderId="26" xfId="2" applyFont="1" applyBorder="1" applyAlignment="1" applyProtection="1">
      <alignment horizontal="center" vertical="center" wrapText="1"/>
      <protection locked="0"/>
    </xf>
    <xf numFmtId="9" fontId="76" fillId="0" borderId="33" xfId="2" applyFont="1" applyBorder="1" applyAlignment="1" applyProtection="1">
      <alignment horizontal="center" vertical="center" wrapText="1"/>
      <protection locked="0"/>
    </xf>
    <xf numFmtId="0" fontId="29" fillId="3" borderId="47" xfId="0" applyFont="1" applyFill="1" applyBorder="1" applyAlignment="1">
      <alignment horizontal="left" vertical="center" wrapText="1"/>
    </xf>
    <xf numFmtId="167" fontId="8" fillId="0" borderId="44" xfId="2" applyNumberFormat="1" applyFont="1" applyFill="1" applyBorder="1" applyAlignment="1">
      <alignment horizontal="center" vertical="center"/>
    </xf>
    <xf numFmtId="167" fontId="8" fillId="0" borderId="43" xfId="2" applyNumberFormat="1" applyFont="1" applyFill="1" applyBorder="1" applyAlignment="1">
      <alignment horizontal="center" vertical="center"/>
    </xf>
    <xf numFmtId="0" fontId="29" fillId="14" borderId="39" xfId="4" applyFont="1" applyFill="1" applyBorder="1" applyAlignment="1">
      <alignment horizontal="left" vertical="center" wrapText="1"/>
    </xf>
    <xf numFmtId="0" fontId="29" fillId="14" borderId="44" xfId="4" applyFont="1" applyFill="1" applyBorder="1" applyAlignment="1">
      <alignment horizontal="left" vertical="center" wrapText="1"/>
    </xf>
    <xf numFmtId="0" fontId="29" fillId="3" borderId="7" xfId="0" applyFont="1" applyFill="1" applyBorder="1" applyAlignment="1">
      <alignment horizontal="left" vertical="center" wrapText="1"/>
    </xf>
    <xf numFmtId="0" fontId="29" fillId="3" borderId="8" xfId="0" applyFont="1" applyFill="1" applyBorder="1" applyAlignment="1">
      <alignment horizontal="left" vertical="center" wrapText="1"/>
    </xf>
    <xf numFmtId="0" fontId="29" fillId="14" borderId="45" xfId="4" applyFont="1" applyFill="1" applyBorder="1" applyAlignment="1">
      <alignment horizontal="center" vertical="center" wrapText="1"/>
    </xf>
    <xf numFmtId="0" fontId="29" fillId="14" borderId="40" xfId="4" applyFont="1" applyFill="1" applyBorder="1" applyAlignment="1">
      <alignment horizontal="center" vertical="center" wrapText="1"/>
    </xf>
    <xf numFmtId="0" fontId="29" fillId="14" borderId="39" xfId="4" applyFont="1" applyFill="1" applyBorder="1" applyAlignment="1">
      <alignment horizontal="center" vertical="center" wrapText="1"/>
    </xf>
    <xf numFmtId="0" fontId="29" fillId="14" borderId="44" xfId="4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top" wrapText="1"/>
    </xf>
    <xf numFmtId="10" fontId="8" fillId="0" borderId="60" xfId="2" applyNumberFormat="1" applyFont="1" applyBorder="1" applyAlignment="1">
      <alignment horizontal="center" vertical="center"/>
    </xf>
    <xf numFmtId="10" fontId="8" fillId="0" borderId="59" xfId="2" applyNumberFormat="1" applyFont="1" applyBorder="1" applyAlignment="1">
      <alignment horizontal="center" vertical="center"/>
    </xf>
    <xf numFmtId="167" fontId="8" fillId="0" borderId="40" xfId="0" applyNumberFormat="1" applyFont="1" applyBorder="1" applyAlignment="1">
      <alignment horizontal="center" vertical="center"/>
    </xf>
    <xf numFmtId="167" fontId="8" fillId="0" borderId="42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9" fillId="15" borderId="43" xfId="4" applyFont="1" applyFill="1" applyBorder="1" applyAlignment="1">
      <alignment horizontal="center" vertical="center"/>
    </xf>
    <xf numFmtId="0" fontId="29" fillId="15" borderId="39" xfId="4" applyFont="1" applyFill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76" fillId="0" borderId="58" xfId="4" applyNumberFormat="1" applyFont="1" applyBorder="1" applyAlignment="1" applyProtection="1">
      <alignment horizontal="center" vertical="center" wrapText="1"/>
      <protection locked="0"/>
    </xf>
    <xf numFmtId="2" fontId="76" fillId="0" borderId="55" xfId="4" applyNumberFormat="1" applyFont="1" applyBorder="1" applyAlignment="1" applyProtection="1">
      <alignment horizontal="center" vertical="center" wrapText="1"/>
      <protection locked="0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9" fontId="8" fillId="0" borderId="44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9" fontId="76" fillId="0" borderId="26" xfId="4" applyNumberFormat="1" applyFont="1" applyBorder="1" applyAlignment="1" applyProtection="1">
      <alignment horizontal="center" vertical="center" wrapText="1"/>
      <protection locked="0"/>
    </xf>
    <xf numFmtId="9" fontId="76" fillId="0" borderId="33" xfId="4" applyNumberFormat="1" applyFont="1" applyBorder="1" applyAlignment="1" applyProtection="1">
      <alignment horizontal="center" vertical="center" wrapText="1"/>
      <protection locked="0"/>
    </xf>
    <xf numFmtId="0" fontId="29" fillId="3" borderId="53" xfId="0" applyFont="1" applyFill="1" applyBorder="1" applyAlignment="1">
      <alignment horizontal="left" vertical="center" wrapText="1"/>
    </xf>
    <xf numFmtId="0" fontId="29" fillId="3" borderId="54" xfId="0" applyFont="1" applyFill="1" applyBorder="1" applyAlignment="1">
      <alignment horizontal="left" vertical="center" wrapText="1"/>
    </xf>
    <xf numFmtId="0" fontId="29" fillId="3" borderId="42" xfId="0" applyFont="1" applyFill="1" applyBorder="1" applyAlignment="1">
      <alignment horizontal="left" vertical="center" wrapText="1"/>
    </xf>
    <xf numFmtId="9" fontId="8" fillId="0" borderId="44" xfId="2" applyFont="1" applyFill="1" applyBorder="1" applyAlignment="1">
      <alignment horizontal="center" vertical="center"/>
    </xf>
    <xf numFmtId="9" fontId="8" fillId="0" borderId="55" xfId="2" applyFont="1" applyFill="1" applyBorder="1" applyAlignment="1">
      <alignment horizontal="center" vertical="center"/>
    </xf>
    <xf numFmtId="9" fontId="8" fillId="0" borderId="58" xfId="0" applyNumberFormat="1" applyFont="1" applyFill="1" applyBorder="1" applyAlignment="1">
      <alignment horizontal="center" vertical="center"/>
    </xf>
    <xf numFmtId="167" fontId="8" fillId="0" borderId="44" xfId="2" applyNumberFormat="1" applyFont="1" applyFill="1" applyBorder="1" applyAlignment="1">
      <alignment horizontal="center" vertical="center" wrapText="1" shrinkToFit="1"/>
    </xf>
    <xf numFmtId="167" fontId="8" fillId="0" borderId="55" xfId="2" applyNumberFormat="1" applyFont="1" applyFill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/>
    </xf>
    <xf numFmtId="10" fontId="8" fillId="0" borderId="58" xfId="2" applyNumberFormat="1" applyFont="1" applyFill="1" applyBorder="1" applyAlignment="1">
      <alignment horizontal="center" vertical="center"/>
    </xf>
    <xf numFmtId="10" fontId="8" fillId="0" borderId="43" xfId="2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9" fontId="8" fillId="0" borderId="47" xfId="2" applyFont="1" applyBorder="1" applyAlignment="1">
      <alignment horizontal="center" vertical="center"/>
    </xf>
    <xf numFmtId="0" fontId="29" fillId="3" borderId="39" xfId="0" applyFont="1" applyFill="1" applyBorder="1" applyAlignment="1">
      <alignment horizontal="center" wrapText="1"/>
    </xf>
    <xf numFmtId="0" fontId="29" fillId="0" borderId="47" xfId="0" applyFont="1" applyBorder="1" applyAlignment="1">
      <alignment horizontal="center" vertical="center" wrapText="1"/>
    </xf>
    <xf numFmtId="10" fontId="8" fillId="0" borderId="44" xfId="2" applyNumberFormat="1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>
      <alignment horizontal="center" vertical="center"/>
    </xf>
    <xf numFmtId="4" fontId="8" fillId="0" borderId="58" xfId="0" applyNumberFormat="1" applyFont="1" applyFill="1" applyBorder="1" applyAlignment="1">
      <alignment horizontal="center" vertical="center"/>
    </xf>
    <xf numFmtId="4" fontId="8" fillId="0" borderId="43" xfId="0" applyNumberFormat="1" applyFont="1" applyFill="1" applyBorder="1" applyAlignment="1">
      <alignment horizontal="center" vertical="center"/>
    </xf>
    <xf numFmtId="2" fontId="8" fillId="0" borderId="44" xfId="2" applyNumberFormat="1" applyFont="1" applyFill="1" applyBorder="1" applyAlignment="1">
      <alignment horizontal="center" vertical="center"/>
    </xf>
    <xf numFmtId="2" fontId="8" fillId="0" borderId="55" xfId="2" applyNumberFormat="1" applyFont="1" applyFill="1" applyBorder="1" applyAlignment="1">
      <alignment horizontal="center" vertical="center"/>
    </xf>
    <xf numFmtId="4" fontId="60" fillId="0" borderId="0" xfId="0" applyNumberFormat="1" applyFont="1" applyAlignment="1">
      <alignment horizontal="center" wrapText="1"/>
    </xf>
    <xf numFmtId="0" fontId="60" fillId="0" borderId="0" xfId="0" applyFont="1" applyAlignment="1">
      <alignment horizontal="center" wrapText="1"/>
    </xf>
    <xf numFmtId="169" fontId="60" fillId="0" borderId="0" xfId="0" applyNumberFormat="1" applyFont="1" applyAlignment="1">
      <alignment horizontal="center" wrapText="1"/>
    </xf>
    <xf numFmtId="10" fontId="60" fillId="0" borderId="0" xfId="2" applyNumberFormat="1" applyFont="1" applyAlignment="1">
      <alignment horizontal="center" wrapText="1"/>
    </xf>
    <xf numFmtId="0" fontId="19" fillId="9" borderId="0" xfId="0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53" fillId="9" borderId="21" xfId="0" applyFont="1" applyFill="1" applyBorder="1" applyAlignment="1">
      <alignment horizontal="left" vertical="center"/>
    </xf>
    <xf numFmtId="0" fontId="53" fillId="9" borderId="17" xfId="0" applyFont="1" applyFill="1" applyBorder="1" applyAlignment="1">
      <alignment horizontal="left" vertical="center"/>
    </xf>
    <xf numFmtId="0" fontId="53" fillId="9" borderId="9" xfId="0" applyFont="1" applyFill="1" applyBorder="1" applyAlignment="1">
      <alignment horizontal="left" vertical="center"/>
    </xf>
    <xf numFmtId="0" fontId="60" fillId="3" borderId="7" xfId="0" applyFont="1" applyFill="1" applyBorder="1" applyAlignment="1" applyProtection="1">
      <alignment vertical="top" wrapText="1"/>
      <protection locked="0"/>
    </xf>
    <xf numFmtId="0" fontId="12" fillId="8" borderId="36" xfId="0" applyFont="1" applyFill="1" applyBorder="1" applyAlignment="1">
      <alignment horizontal="right" vertical="center" wrapText="1"/>
    </xf>
    <xf numFmtId="0" fontId="12" fillId="8" borderId="37" xfId="0" applyFont="1" applyFill="1" applyBorder="1" applyAlignment="1">
      <alignment horizontal="right" vertical="center" wrapText="1"/>
    </xf>
    <xf numFmtId="0" fontId="12" fillId="8" borderId="38" xfId="0" applyFont="1" applyFill="1" applyBorder="1" applyAlignment="1">
      <alignment horizontal="right" vertical="center" wrapText="1"/>
    </xf>
    <xf numFmtId="49" fontId="61" fillId="0" borderId="0" xfId="0" applyNumberFormat="1" applyFont="1" applyAlignment="1">
      <alignment horizontal="right" vertical="top" wrapText="1" shrinkToFit="1" readingOrder="1"/>
    </xf>
    <xf numFmtId="49" fontId="61" fillId="0" borderId="0" xfId="0" applyNumberFormat="1" applyFont="1" applyAlignment="1">
      <alignment horizontal="left" vertical="center" wrapText="1" shrinkToFit="1" readingOrder="1"/>
    </xf>
    <xf numFmtId="4" fontId="62" fillId="0" borderId="0" xfId="0" applyNumberFormat="1" applyFont="1" applyAlignment="1">
      <alignment horizontal="right" vertical="center" wrapText="1" shrinkToFit="1" readingOrder="1"/>
    </xf>
    <xf numFmtId="49" fontId="63" fillId="20" borderId="0" xfId="0" applyNumberFormat="1" applyFont="1" applyFill="1" applyAlignment="1">
      <alignment horizontal="left" vertical="center" wrapText="1" shrinkToFit="1" readingOrder="1"/>
    </xf>
    <xf numFmtId="4" fontId="62" fillId="20" borderId="0" xfId="0" applyNumberFormat="1" applyFont="1" applyFill="1" applyAlignment="1">
      <alignment horizontal="right" vertical="center" wrapText="1" shrinkToFit="1" readingOrder="1"/>
    </xf>
    <xf numFmtId="49" fontId="63" fillId="0" borderId="0" xfId="0" applyNumberFormat="1" applyFont="1" applyAlignment="1">
      <alignment horizontal="left" vertical="center" wrapText="1" shrinkToFit="1" readingOrder="1"/>
    </xf>
    <xf numFmtId="49" fontId="61" fillId="20" borderId="0" xfId="0" applyNumberFormat="1" applyFont="1" applyFill="1" applyAlignment="1">
      <alignment horizontal="left" vertical="center" wrapText="1" shrinkToFit="1" readingOrder="1"/>
    </xf>
    <xf numFmtId="0" fontId="64" fillId="21" borderId="61" xfId="0" applyFont="1" applyFill="1" applyBorder="1" applyAlignment="1">
      <alignment horizontal="center" vertical="center" wrapText="1" shrinkToFit="1" readingOrder="1"/>
    </xf>
    <xf numFmtId="0" fontId="70" fillId="0" borderId="0" xfId="0" applyFont="1" applyAlignment="1">
      <alignment horizontal="left" vertical="top" wrapText="1" shrinkToFit="1" readingOrder="1"/>
    </xf>
    <xf numFmtId="0" fontId="69" fillId="0" borderId="0" xfId="0" applyFont="1" applyAlignment="1">
      <alignment horizontal="left" vertical="top" wrapText="1" shrinkToFit="1" readingOrder="1"/>
    </xf>
    <xf numFmtId="0" fontId="68" fillId="21" borderId="0" xfId="0" applyFont="1" applyFill="1" applyAlignment="1">
      <alignment horizontal="left" vertical="top" wrapText="1" shrinkToFit="1" readingOrder="1"/>
    </xf>
    <xf numFmtId="0" fontId="67" fillId="0" borderId="0" xfId="0" applyFont="1" applyAlignment="1">
      <alignment horizontal="right" vertical="top" wrapText="1" shrinkToFit="1" readingOrder="1"/>
    </xf>
    <xf numFmtId="0" fontId="66" fillId="0" borderId="0" xfId="0" applyFont="1" applyAlignment="1">
      <alignment horizontal="center" vertical="top" wrapText="1" shrinkToFit="1" readingOrder="1"/>
    </xf>
    <xf numFmtId="0" fontId="65" fillId="0" borderId="0" xfId="0" applyFont="1" applyAlignment="1">
      <alignment horizontal="center" vertical="top" wrapText="1" shrinkToFit="1" readingOrder="1"/>
    </xf>
    <xf numFmtId="0" fontId="64" fillId="21" borderId="64" xfId="0" applyFont="1" applyFill="1" applyBorder="1" applyAlignment="1">
      <alignment horizontal="left" vertical="top" wrapText="1" shrinkToFit="1" readingOrder="1"/>
    </xf>
    <xf numFmtId="0" fontId="64" fillId="21" borderId="63" xfId="0" applyFont="1" applyFill="1" applyBorder="1" applyAlignment="1">
      <alignment horizontal="center" vertical="center" wrapText="1" shrinkToFit="1" readingOrder="1"/>
    </xf>
    <xf numFmtId="0" fontId="6" fillId="9" borderId="2" xfId="0" applyFont="1" applyFill="1" applyBorder="1" applyAlignment="1">
      <alignment horizontal="left" vertical="center" wrapText="1"/>
    </xf>
    <xf numFmtId="165" fontId="13" fillId="8" borderId="7" xfId="0" applyNumberFormat="1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41" fontId="13" fillId="8" borderId="7" xfId="0" applyNumberFormat="1" applyFont="1" applyFill="1" applyBorder="1" applyAlignment="1">
      <alignment horizontal="center" vertical="center" wrapText="1"/>
    </xf>
    <xf numFmtId="49" fontId="71" fillId="20" borderId="0" xfId="0" applyNumberFormat="1" applyFont="1" applyFill="1" applyAlignment="1">
      <alignment horizontal="left" vertical="center" wrapText="1" shrinkToFit="1" readingOrder="1"/>
    </xf>
    <xf numFmtId="4" fontId="71" fillId="20" borderId="0" xfId="0" applyNumberFormat="1" applyFont="1" applyFill="1" applyAlignment="1">
      <alignment horizontal="right" vertical="center" wrapText="1" shrinkToFit="1" readingOrder="1"/>
    </xf>
    <xf numFmtId="0" fontId="71" fillId="20" borderId="0" xfId="0" applyFont="1" applyFill="1" applyAlignment="1">
      <alignment horizontal="right" vertical="center" wrapText="1" shrinkToFit="1" readingOrder="1"/>
    </xf>
    <xf numFmtId="0" fontId="61" fillId="0" borderId="0" xfId="0" applyFont="1" applyAlignment="1">
      <alignment horizontal="left" vertical="top" wrapText="1" shrinkToFit="1" readingOrder="1"/>
    </xf>
    <xf numFmtId="4" fontId="63" fillId="0" borderId="0" xfId="0" applyNumberFormat="1" applyFont="1" applyAlignment="1">
      <alignment horizontal="right" vertical="center" wrapText="1" shrinkToFit="1" readingOrder="1"/>
    </xf>
    <xf numFmtId="0" fontId="63" fillId="0" borderId="0" xfId="0" applyFont="1" applyAlignment="1">
      <alignment horizontal="right" vertical="center" wrapText="1" shrinkToFit="1" readingOrder="1"/>
    </xf>
    <xf numFmtId="49" fontId="71" fillId="0" borderId="0" xfId="0" applyNumberFormat="1" applyFont="1" applyAlignment="1">
      <alignment horizontal="left" vertical="center" wrapText="1" shrinkToFit="1" readingOrder="1"/>
    </xf>
    <xf numFmtId="4" fontId="71" fillId="0" borderId="0" xfId="0" applyNumberFormat="1" applyFont="1" applyAlignment="1">
      <alignment horizontal="right" vertical="center" wrapText="1" shrinkToFit="1" readingOrder="1"/>
    </xf>
    <xf numFmtId="0" fontId="71" fillId="0" borderId="0" xfId="0" applyFont="1" applyAlignment="1">
      <alignment horizontal="right" vertical="center" wrapText="1" shrinkToFit="1" readingOrder="1"/>
    </xf>
    <xf numFmtId="4" fontId="63" fillId="20" borderId="0" xfId="0" applyNumberFormat="1" applyFont="1" applyFill="1" applyAlignment="1">
      <alignment horizontal="right" vertical="center" wrapText="1" shrinkToFit="1" readingOrder="1"/>
    </xf>
    <xf numFmtId="0" fontId="63" fillId="20" borderId="0" xfId="0" applyFont="1" applyFill="1" applyAlignment="1">
      <alignment horizontal="right" vertical="center" wrapText="1" shrinkToFit="1" readingOrder="1"/>
    </xf>
    <xf numFmtId="0" fontId="64" fillId="21" borderId="0" xfId="0" applyFont="1" applyFill="1" applyAlignment="1">
      <alignment horizontal="left" vertical="center" wrapText="1" shrinkToFit="1" readingOrder="1"/>
    </xf>
    <xf numFmtId="0" fontId="64" fillId="21" borderId="0" xfId="0" applyFont="1" applyFill="1" applyAlignment="1">
      <alignment horizontal="right" vertical="center" wrapText="1" shrinkToFit="1" readingOrder="1"/>
    </xf>
    <xf numFmtId="0" fontId="64" fillId="22" borderId="0" xfId="0" applyFont="1" applyFill="1" applyAlignment="1">
      <alignment horizontal="left" vertical="top" wrapText="1" shrinkToFit="1" readingOrder="1"/>
    </xf>
    <xf numFmtId="0" fontId="11" fillId="7" borderId="22" xfId="0" applyFont="1" applyFill="1" applyBorder="1" applyAlignment="1">
      <alignment horizontal="right"/>
    </xf>
    <xf numFmtId="0" fontId="11" fillId="7" borderId="23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left" vertical="center" wrapText="1"/>
    </xf>
    <xf numFmtId="0" fontId="14" fillId="8" borderId="28" xfId="0" applyFont="1" applyFill="1" applyBorder="1" applyAlignment="1">
      <alignment horizontal="left" vertical="center"/>
    </xf>
    <xf numFmtId="0" fontId="14" fillId="8" borderId="29" xfId="0" applyFont="1" applyFill="1" applyBorder="1" applyAlignment="1">
      <alignment horizontal="left" vertical="center"/>
    </xf>
    <xf numFmtId="0" fontId="14" fillId="8" borderId="30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 textRotation="90"/>
    </xf>
    <xf numFmtId="0" fontId="10" fillId="11" borderId="7" xfId="0" applyFont="1" applyFill="1" applyBorder="1" applyAlignment="1">
      <alignment horizontal="center" vertical="center" wrapText="1"/>
    </xf>
    <xf numFmtId="41" fontId="14" fillId="8" borderId="7" xfId="0" applyNumberFormat="1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right"/>
    </xf>
    <xf numFmtId="0" fontId="11" fillId="7" borderId="15" xfId="0" applyFont="1" applyFill="1" applyBorder="1" applyAlignment="1">
      <alignment horizontal="right"/>
    </xf>
    <xf numFmtId="0" fontId="10" fillId="9" borderId="0" xfId="0" applyFont="1" applyFill="1" applyBorder="1" applyAlignment="1">
      <alignment horizontal="left"/>
    </xf>
    <xf numFmtId="0" fontId="22" fillId="17" borderId="7" xfId="0" applyFont="1" applyFill="1" applyBorder="1" applyAlignment="1">
      <alignment horizontal="left" vertical="center"/>
    </xf>
    <xf numFmtId="41" fontId="10" fillId="3" borderId="7" xfId="0" applyNumberFormat="1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/>
    </xf>
    <xf numFmtId="41" fontId="14" fillId="8" borderId="7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 applyProtection="1">
      <alignment horizontal="left" vertical="center"/>
      <protection locked="0"/>
    </xf>
    <xf numFmtId="0" fontId="9" fillId="9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77" fillId="0" borderId="0" xfId="0" applyFont="1" applyFill="1" applyAlignment="1">
      <alignment vertical="center"/>
    </xf>
    <xf numFmtId="41" fontId="14" fillId="0" borderId="0" xfId="0" applyNumberFormat="1" applyFont="1" applyFill="1" applyBorder="1" applyAlignment="1">
      <alignment horizontal="center" vertical="center" wrapText="1"/>
    </xf>
    <xf numFmtId="164" fontId="14" fillId="0" borderId="0" xfId="3" applyFont="1" applyFill="1" applyBorder="1" applyAlignment="1">
      <alignment horizontal="center" vertical="center" wrapText="1"/>
    </xf>
    <xf numFmtId="167" fontId="14" fillId="0" borderId="0" xfId="2" applyNumberFormat="1" applyFont="1" applyFill="1" applyBorder="1" applyAlignment="1">
      <alignment horizontal="right" vertical="center" wrapText="1"/>
    </xf>
    <xf numFmtId="0" fontId="78" fillId="0" borderId="0" xfId="0" applyFont="1" applyFill="1"/>
    <xf numFmtId="0" fontId="78" fillId="0" borderId="0" xfId="0" applyFont="1" applyFill="1" applyBorder="1"/>
  </cellXfs>
  <cellStyles count="33">
    <cellStyle name="Moeda" xfId="1" builtinId="4"/>
    <cellStyle name="Moeda 2" xfId="9"/>
    <cellStyle name="Moeda 2 2" xfId="19"/>
    <cellStyle name="Moeda 2 3" xfId="27"/>
    <cellStyle name="Moeda 3" xfId="13"/>
    <cellStyle name="Neutro 2" xfId="5"/>
    <cellStyle name="Normal" xfId="0" builtinId="0"/>
    <cellStyle name="Normal 2" xfId="4"/>
    <cellStyle name="Normal 2 2" xfId="16"/>
    <cellStyle name="Normal 2 3" xfId="22"/>
    <cellStyle name="Normal 3" xfId="7"/>
    <cellStyle name="Normal 3 2" xfId="11"/>
    <cellStyle name="Normal 3 2 2" xfId="12"/>
    <cellStyle name="Normal 3 2 3" xfId="18"/>
    <cellStyle name="Normal 3 3" xfId="24"/>
    <cellStyle name="Normal 4" xfId="23"/>
    <cellStyle name="Normal 4 2" xfId="29"/>
    <cellStyle name="Porcentagem" xfId="2" builtinId="5"/>
    <cellStyle name="Porcentagem 2" xfId="28"/>
    <cellStyle name="Porcentagem 2 2" xfId="17"/>
    <cellStyle name="Porcentagem 4" xfId="30"/>
    <cellStyle name="Texto Explicativo 2" xfId="25"/>
    <cellStyle name="Texto Explicativo 3" xfId="32"/>
    <cellStyle name="Vírgula" xfId="3" builtinId="3"/>
    <cellStyle name="Vírgula 2" xfId="8"/>
    <cellStyle name="Vírgula 2 2" xfId="10"/>
    <cellStyle name="Vírgula 2 2 2" xfId="15"/>
    <cellStyle name="Vírgula 2 3" xfId="14"/>
    <cellStyle name="Vírgula 2 4" xfId="26"/>
    <cellStyle name="Vírgula 3" xfId="21"/>
    <cellStyle name="Vírgula 3 2" xfId="31"/>
    <cellStyle name="Vírgula 4" xfId="6"/>
    <cellStyle name="Vírgula 4 2" xfId="2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008080"/>
      <color rgb="FF009999"/>
      <color rgb="FFF2F2F2"/>
      <color rgb="FFFFFFFF"/>
      <color rgb="FFF6FAF4"/>
      <color rgb="FFB9FFFF"/>
      <color rgb="FFD7E9E0"/>
      <color rgb="FFECFCFC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https://cau-br.implanta.net.br/siscont/despesa/demonstrativoempenhopagamento.aspx?cc=1#SiteMapPath1_SkipLink" TargetMode="Externa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1</xdr:row>
      <xdr:rowOff>19050</xdr:rowOff>
    </xdr:from>
    <xdr:to>
      <xdr:col>8</xdr:col>
      <xdr:colOff>571501</xdr:colOff>
      <xdr:row>2</xdr:row>
      <xdr:rowOff>533400</xdr:rowOff>
    </xdr:to>
    <xdr:pic>
      <xdr:nvPicPr>
        <xdr:cNvPr id="2" name="Imagem 2" descr="CAU-BR-timbrado2015-edit-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" t="6757" r="17885" b="-6757"/>
        <a:stretch/>
      </xdr:blipFill>
      <xdr:spPr bwMode="auto">
        <a:xfrm>
          <a:off x="304801" y="219075"/>
          <a:ext cx="5086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" name="Imagem 2" descr="Pular Links de Navegaçã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27A1FE9-CB72-48C5-8909-84F763E0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>
          <a:extLst>
            <a:ext uri="{FF2B5EF4-FFF2-40B4-BE49-F238E27FC236}">
              <a16:creationId xmlns:a16="http://schemas.microsoft.com/office/drawing/2014/main" xmlns="" id="{00000000-0008-0000-09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640774</xdr:colOff>
      <xdr:row>4</xdr:row>
      <xdr:rowOff>133350</xdr:rowOff>
    </xdr:to>
    <xdr:pic>
      <xdr:nvPicPr>
        <xdr:cNvPr id="2049" name="Imagem 2" descr="CAU-BR-timbrado2015-edit-13">
          <a:extLst>
            <a:ext uri="{FF2B5EF4-FFF2-40B4-BE49-F238E27FC236}">
              <a16:creationId xmlns:a16="http://schemas.microsoft.com/office/drawing/2014/main" xmlns="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7933" cy="88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1368984</xdr:colOff>
      <xdr:row>0</xdr:row>
      <xdr:rowOff>2228850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75534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146538</xdr:colOff>
      <xdr:row>0</xdr:row>
      <xdr:rowOff>0</xdr:rowOff>
    </xdr:from>
    <xdr:to>
      <xdr:col>3</xdr:col>
      <xdr:colOff>750616</xdr:colOff>
      <xdr:row>1</xdr:row>
      <xdr:rowOff>0</xdr:rowOff>
    </xdr:to>
    <xdr:pic>
      <xdr:nvPicPr>
        <xdr:cNvPr id="2" name="Imagem 1" descr="CAU-BR-timbrado2015-edit-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538" y="0"/>
          <a:ext cx="21178078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3</xdr:col>
      <xdr:colOff>1387928</xdr:colOff>
      <xdr:row>1</xdr:row>
      <xdr:rowOff>1079500</xdr:rowOff>
    </xdr:to>
    <xdr:pic>
      <xdr:nvPicPr>
        <xdr:cNvPr id="4119" name="Imagem 2" descr="CAU-BR-timbrado2015-edit-13">
          <a:extLst>
            <a:ext uri="{FF2B5EF4-FFF2-40B4-BE49-F238E27FC236}">
              <a16:creationId xmlns:a16="http://schemas.microsoft.com/office/drawing/2014/main" xmlns="" id="{00000000-0008-0000-0500-00001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1182803" cy="126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0</xdr:row>
      <xdr:rowOff>0</xdr:rowOff>
    </xdr:from>
    <xdr:ext cx="1895475" cy="1066800"/>
    <xdr:pic>
      <xdr:nvPicPr>
        <xdr:cNvPr id="2" name="Picture1">
          <a:extLst>
            <a:ext uri="{FF2B5EF4-FFF2-40B4-BE49-F238E27FC236}">
              <a16:creationId xmlns:a16="http://schemas.microsoft.com/office/drawing/2014/main" xmlns="" id="{5D80E164-F34C-4BD2-89B3-92B6A1F1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0"/>
          <a:ext cx="1895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5</xdr:col>
      <xdr:colOff>581025</xdr:colOff>
      <xdr:row>2</xdr:row>
      <xdr:rowOff>314325</xdr:rowOff>
    </xdr:to>
    <xdr:pic>
      <xdr:nvPicPr>
        <xdr:cNvPr id="5125" name="Imagem 2" descr="CAU-BR-timbrado2015-edit-13">
          <a:extLst>
            <a:ext uri="{FF2B5EF4-FFF2-40B4-BE49-F238E27FC236}">
              <a16:creationId xmlns:a16="http://schemas.microsoft.com/office/drawing/2014/main" xmlns="" id="{00000000-0008-0000-0700-00000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0</xdr:row>
      <xdr:rowOff>0</xdr:rowOff>
    </xdr:from>
    <xdr:ext cx="2628900" cy="1066800"/>
    <xdr:pic>
      <xdr:nvPicPr>
        <xdr:cNvPr id="2" name="Picture1">
          <a:extLst>
            <a:ext uri="{FF2B5EF4-FFF2-40B4-BE49-F238E27FC236}">
              <a16:creationId xmlns:a16="http://schemas.microsoft.com/office/drawing/2014/main" xmlns="" id="{B13DC17B-7C5D-4576-9F82-4349B68F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800" y="0"/>
          <a:ext cx="2628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68</xdr:row>
      <xdr:rowOff>0</xdr:rowOff>
    </xdr:from>
    <xdr:ext cx="333375" cy="161925"/>
    <xdr:pic>
      <xdr:nvPicPr>
        <xdr:cNvPr id="3" name="Picture2">
          <a:extLst>
            <a:ext uri="{FF2B5EF4-FFF2-40B4-BE49-F238E27FC236}">
              <a16:creationId xmlns:a16="http://schemas.microsoft.com/office/drawing/2014/main" xmlns="" id="{2393964B-3E8D-4F0F-BE76-49731B44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2954000"/>
          <a:ext cx="333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70</xdr:row>
      <xdr:rowOff>0</xdr:rowOff>
    </xdr:from>
    <xdr:ext cx="333375" cy="171450"/>
    <xdr:pic>
      <xdr:nvPicPr>
        <xdr:cNvPr id="4" name="Picture3">
          <a:extLst>
            <a:ext uri="{FF2B5EF4-FFF2-40B4-BE49-F238E27FC236}">
              <a16:creationId xmlns:a16="http://schemas.microsoft.com/office/drawing/2014/main" xmlns="" id="{112F22F6-CEE4-4875-986F-8F0D2C34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5000"/>
          <a:ext cx="333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10</xdr:col>
      <xdr:colOff>1367692</xdr:colOff>
      <xdr:row>2</xdr:row>
      <xdr:rowOff>12212</xdr:rowOff>
    </xdr:to>
    <xdr:pic>
      <xdr:nvPicPr>
        <xdr:cNvPr id="3" name="Imagem 2" descr="CAU-BR-timbrado2015-edit-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ECER%20CAU_DF%20-%20Reprograma&#231;&#227;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SSESSORIA%20DE%20PLANEJAMENTO%20E%20GESTAO%20DA%20ESTRATEGIA\2019\Programa&#231;&#227;o%202019\CAU%20UF\CAU%20DF\Final\Plano%20de%20A&#231;&#227;o%20Programa&#231;&#227;o%202019_CAU_DF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Iniciais"/>
      <sheetName val="Capa do Parecer"/>
      <sheetName val="Análise Geral"/>
      <sheetName val="Matriz Objetivos x Projetos"/>
      <sheetName val="Indicadores e Metas1"/>
      <sheetName val="Indicadores e Metas"/>
      <sheetName val="FORM.1"/>
      <sheetName val="FORM.2"/>
      <sheetName val="Sheet"/>
      <sheetName val="FORM.3"/>
      <sheetName val="FORM.4"/>
      <sheetName val="FORM.5"/>
      <sheetName val="Anexo_1.4_Dados"/>
      <sheetName val="2019"/>
      <sheetName val="Parecer"/>
      <sheetName val="Anexo 1.4-Qd. Desc. Funcion."/>
      <sheetName val="Anexo 1.4-Qd Descr. Fisc."/>
      <sheetName val="Plan1"/>
      <sheetName val="Anexo 1.4-Qd Descr. Atend"/>
      <sheetName val="Anexo 1.4-Qd Descr. Comun."/>
      <sheetName val="Anexo 1.4-Qd Descr. Capacitação"/>
      <sheetName val="Anexo 1.4-Qd Descr. SEDE"/>
      <sheetName val="Anexo 1.4-Qd Descr. Patrocínio"/>
      <sheetName val="Anexo 1.4-Qd Descr. ATHIS"/>
      <sheetName val="Anexo 1.4-Qd Descr. CSC-Atend"/>
      <sheetName val="Anexo 1.4-Qd Descr. CSC-FISC"/>
      <sheetName val="Anexo 1.4-Qd Descr. Res Cont."/>
      <sheetName val="Anexo 1.4-Qd Descr. Fundo A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A8" t="str">
            <v>Gerência Geral</v>
          </cell>
          <cell r="D8" t="str">
            <v>Funcionamento do CAU/DF</v>
          </cell>
          <cell r="F8" t="str">
            <v>Aprimorar e inovar os processos e as ações</v>
          </cell>
          <cell r="G8" t="str">
            <v xml:space="preserve">Contribuir pela melhoria das condições de trabalho do CAU/DF, de modo a garantir a continuidade das atividades operacionais. </v>
          </cell>
          <cell r="K8">
            <v>1665063.9800000004</v>
          </cell>
        </row>
        <row r="9">
          <cell r="A9" t="str">
            <v>Assessoria de Comunicação</v>
          </cell>
          <cell r="D9" t="str">
            <v>Comunicação do CAU/DF</v>
          </cell>
          <cell r="F9" t="str">
            <v>Assegurar a eficácia no relacionamento e comunicação com a sociedade</v>
          </cell>
          <cell r="G9" t="str">
            <v>Ampliar a visibilidade e identificação visual do CAU/DF tanto a partir da confecção de materiais quanto pela participação ativa do conselho em eventos, plenárias e reuniões.</v>
          </cell>
          <cell r="K9">
            <v>163512</v>
          </cell>
        </row>
        <row r="10">
          <cell r="A10" t="str">
            <v>Departamento de Fiscalização</v>
          </cell>
          <cell r="D10" t="str">
            <v>Fiscalização 2019</v>
          </cell>
          <cell r="F10" t="str">
            <v>Tornar a fiscalização um vetor de melhoria do exercício da Arquitetura e Urbanismo</v>
          </cell>
          <cell r="G10" t="str">
            <v>Difundir as ações de fiscalização de modo a garantir melhoria no ambiente profissional.</v>
          </cell>
          <cell r="K10">
            <v>700448.05</v>
          </cell>
        </row>
        <row r="11">
          <cell r="A11" t="str">
            <v>Gerente Técnica e Atendimento - GETEC</v>
          </cell>
          <cell r="D11" t="str">
            <v>Atendimento aos Arquitetos e Urbanistas</v>
          </cell>
          <cell r="F11" t="str">
            <v>Assegurar a eficácia no atendimento e no relacionamento com os Arquitetos e Urbanistas e a Sociedade</v>
          </cell>
          <cell r="G11" t="str">
            <v>Contribuir para melhoria do atendimento aos profissionais da arquitetura e urbanismo e sociedades.</v>
          </cell>
          <cell r="K11">
            <v>383713.94999999995</v>
          </cell>
        </row>
        <row r="12">
          <cell r="A12" t="str">
            <v>Gerência Geral</v>
          </cell>
          <cell r="D12" t="str">
            <v>Capacitação dos Colaboradores do CAU/DF</v>
          </cell>
          <cell r="F12" t="str">
            <v>Desenvolver competências de dirigentes e colaboradores</v>
          </cell>
          <cell r="G12" t="str">
            <v>Desenvolver as habilidades do quadro funcional do CAU/DF.</v>
          </cell>
          <cell r="K12">
            <v>69700.02</v>
          </cell>
        </row>
        <row r="13">
          <cell r="A13" t="str">
            <v>Assessoria de Informática</v>
          </cell>
          <cell r="D13" t="str">
            <v>Centro de Serviço Compartilhado - Fiscalização</v>
          </cell>
          <cell r="F13" t="str">
            <v>Tornar a fiscalização um vetor de melhoria do exercício da Arquitetura e Urbanismo</v>
          </cell>
          <cell r="G13" t="str">
            <v>Cumprimento da Resolução n° 92 do CAU/BR.</v>
          </cell>
          <cell r="K13">
            <v>217075.11</v>
          </cell>
        </row>
        <row r="14">
          <cell r="A14" t="str">
            <v>Assessoria de Informática</v>
          </cell>
          <cell r="D14" t="str">
            <v>Centro de Serviço Compartilhado - Atendimento</v>
          </cell>
          <cell r="F14" t="str">
            <v>Assegurar a eficácia no atendimento e no relacionamento com os Arquitetos e Urbanistas e a Sociedade</v>
          </cell>
          <cell r="G14" t="str">
            <v>Cumprimento da Resolução n° 92 do CAU/BR.</v>
          </cell>
          <cell r="K14">
            <v>40122.89</v>
          </cell>
        </row>
        <row r="15">
          <cell r="A15" t="str">
            <v>Gerência Financeira</v>
          </cell>
          <cell r="D15" t="str">
            <v>Fundo de Apoio CAU/DF</v>
          </cell>
          <cell r="F15" t="str">
            <v>Assegurar a sustentabilidade financeira</v>
          </cell>
          <cell r="G15" t="str">
            <v>Cumprimento da Resolução n° 119</v>
          </cell>
          <cell r="K15">
            <v>57234.05</v>
          </cell>
        </row>
        <row r="16">
          <cell r="A16" t="str">
            <v>Gerência Geral</v>
          </cell>
          <cell r="D16" t="str">
            <v>Assistência Técnica</v>
          </cell>
          <cell r="F16" t="str">
            <v>Fomentar o acesso da sociedade à Arquitetura e Urbanismo</v>
          </cell>
          <cell r="G16" t="str">
            <v>Contribuir para a Melhoria da mentalidade social com relação a ocupação dos espaços urbanos.</v>
          </cell>
          <cell r="K16">
            <v>76647</v>
          </cell>
        </row>
        <row r="17">
          <cell r="A17" t="str">
            <v>Gerência Geral</v>
          </cell>
          <cell r="D17" t="str">
            <v>Patrocinar Eventos de Interesse da Arquitetura e Urbanismo.</v>
          </cell>
          <cell r="F17" t="str">
            <v>Estimular o conhecimento, o uso de processos criativos e a difusão das melhores práticas em Arquitetura e Urbanismo</v>
          </cell>
          <cell r="G17" t="str">
            <v>Melhoria do desenvolvimento das atividades</v>
          </cell>
          <cell r="K17">
            <v>31805.29</v>
          </cell>
        </row>
        <row r="18">
          <cell r="A18" t="str">
            <v>Gerência Financeira</v>
          </cell>
          <cell r="D18" t="str">
            <v>Reserva de Contingência CAU/DF</v>
          </cell>
          <cell r="F18" t="str">
            <v>Assegurar a sustentabilidade financeira</v>
          </cell>
          <cell r="G18" t="str">
            <v>Atender com obrigações financeiras de carácter atípicas e intempestivas</v>
          </cell>
          <cell r="K18">
            <v>22994</v>
          </cell>
        </row>
        <row r="19">
          <cell r="A19" t="str">
            <v>Gerência Geral</v>
          </cell>
          <cell r="D19" t="str">
            <v>Nova SEDE CAU/DF</v>
          </cell>
          <cell r="F19" t="str">
            <v>Ter sistemas de informação e infraestrutura que viabilizem a gestão e o atendimento dos arquitetos e urbanistas e a sociedade</v>
          </cell>
          <cell r="G19" t="str">
            <v xml:space="preserve">Garantir a estrutura física para atendimento e funcionamento do CAU/DF. </v>
          </cell>
          <cell r="K19">
            <v>935114.96</v>
          </cell>
        </row>
        <row r="20">
          <cell r="K20">
            <v>4363431.3</v>
          </cell>
        </row>
      </sheetData>
      <sheetData sheetId="8" refreshError="1"/>
      <sheetData sheetId="9">
        <row r="6">
          <cell r="E6">
            <v>3123103</v>
          </cell>
          <cell r="L6">
            <v>1968132.95</v>
          </cell>
        </row>
        <row r="7">
          <cell r="E7">
            <v>0</v>
          </cell>
          <cell r="L7">
            <v>231516</v>
          </cell>
        </row>
        <row r="8">
          <cell r="E8">
            <v>3123103</v>
          </cell>
          <cell r="L8">
            <v>3494316</v>
          </cell>
        </row>
        <row r="9">
          <cell r="E9">
            <v>57234.05</v>
          </cell>
        </row>
        <row r="10">
          <cell r="E10">
            <v>3065868.95</v>
          </cell>
        </row>
        <row r="13">
          <cell r="E13">
            <v>917523.15999999992</v>
          </cell>
          <cell r="L13">
            <v>1736616.95</v>
          </cell>
        </row>
        <row r="14">
          <cell r="E14">
            <v>0.29927018243881554</v>
          </cell>
          <cell r="L14">
            <v>0.49698337242539026</v>
          </cell>
        </row>
        <row r="15">
          <cell r="E15">
            <v>423836.84</v>
          </cell>
          <cell r="L15">
            <v>69700.02</v>
          </cell>
        </row>
        <row r="16">
          <cell r="E16">
            <v>0.13824362584056307</v>
          </cell>
          <cell r="L16">
            <v>3.5414284385615315E-2</v>
          </cell>
        </row>
        <row r="17">
          <cell r="E17">
            <v>163512</v>
          </cell>
        </row>
        <row r="18">
          <cell r="E18">
            <v>5.333300368236548E-2</v>
          </cell>
        </row>
        <row r="19">
          <cell r="E19">
            <v>31805.29</v>
          </cell>
        </row>
        <row r="20">
          <cell r="E20">
            <v>1.0373988751215214E-2</v>
          </cell>
        </row>
        <row r="21">
          <cell r="E21">
            <v>271964.29000000004</v>
          </cell>
        </row>
        <row r="22">
          <cell r="E22">
            <v>8.8707082538540996E-2</v>
          </cell>
        </row>
        <row r="23">
          <cell r="E23">
            <v>76647</v>
          </cell>
        </row>
        <row r="24">
          <cell r="E24">
            <v>2.500009010496029E-2</v>
          </cell>
        </row>
        <row r="25">
          <cell r="E25">
            <v>22994</v>
          </cell>
        </row>
        <row r="26">
          <cell r="E26">
            <v>7.4999944143078912E-3</v>
          </cell>
        </row>
      </sheetData>
      <sheetData sheetId="10">
        <row r="9">
          <cell r="E9">
            <v>3494316</v>
          </cell>
        </row>
        <row r="10">
          <cell r="E10">
            <v>3358103</v>
          </cell>
        </row>
        <row r="11">
          <cell r="E11">
            <v>1896794</v>
          </cell>
        </row>
        <row r="12">
          <cell r="E12">
            <v>1657640</v>
          </cell>
        </row>
        <row r="13">
          <cell r="E13">
            <v>1457640</v>
          </cell>
        </row>
        <row r="14">
          <cell r="E14">
            <v>200000</v>
          </cell>
        </row>
        <row r="15">
          <cell r="E15">
            <v>239154</v>
          </cell>
        </row>
        <row r="16">
          <cell r="E16">
            <v>204154</v>
          </cell>
        </row>
        <row r="17">
          <cell r="E17">
            <v>34999.999999999993</v>
          </cell>
        </row>
        <row r="18">
          <cell r="E18">
            <v>1324510</v>
          </cell>
        </row>
        <row r="19">
          <cell r="E19">
            <v>136799</v>
          </cell>
        </row>
        <row r="20">
          <cell r="E20">
            <v>85000</v>
          </cell>
        </row>
        <row r="21">
          <cell r="E21">
            <v>51213</v>
          </cell>
        </row>
        <row r="22">
          <cell r="E22">
            <v>0</v>
          </cell>
        </row>
        <row r="23">
          <cell r="E23">
            <v>869115.3</v>
          </cell>
        </row>
        <row r="24">
          <cell r="E24">
            <v>869115.3</v>
          </cell>
        </row>
        <row r="25">
          <cell r="E25">
            <v>0</v>
          </cell>
        </row>
        <row r="26">
          <cell r="E26">
            <v>4363431.3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Objetivos x Proje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="150" zoomScaleNormal="150" workbookViewId="0">
      <selection activeCell="B4" sqref="B4:I4"/>
    </sheetView>
  </sheetViews>
  <sheetFormatPr defaultRowHeight="15"/>
  <cols>
    <col min="1" max="1" width="3.7109375" customWidth="1"/>
    <col min="2" max="8" width="10.42578125" customWidth="1"/>
    <col min="9" max="9" width="21.28515625" customWidth="1"/>
  </cols>
  <sheetData>
    <row r="1" spans="2:9" ht="15.75" thickBot="1"/>
    <row r="2" spans="2:9">
      <c r="B2" s="74"/>
      <c r="C2" s="75"/>
      <c r="D2" s="75"/>
      <c r="E2" s="75"/>
      <c r="F2" s="75"/>
      <c r="G2" s="75"/>
      <c r="H2" s="75"/>
      <c r="I2" s="76"/>
    </row>
    <row r="3" spans="2:9" ht="44.25" customHeight="1">
      <c r="B3" s="77"/>
      <c r="C3" s="5"/>
      <c r="D3" s="5"/>
      <c r="E3" s="5"/>
      <c r="F3" s="5"/>
      <c r="G3" s="5"/>
      <c r="H3" s="5"/>
      <c r="I3" s="78"/>
    </row>
    <row r="4" spans="2:9">
      <c r="B4" s="238" t="s">
        <v>0</v>
      </c>
      <c r="C4" s="239"/>
      <c r="D4" s="239"/>
      <c r="E4" s="239"/>
      <c r="F4" s="239"/>
      <c r="G4" s="239"/>
      <c r="H4" s="239"/>
      <c r="I4" s="240"/>
    </row>
    <row r="5" spans="2:9" ht="9" customHeight="1" thickBot="1">
      <c r="B5" s="77"/>
      <c r="C5" s="5"/>
      <c r="D5" s="5"/>
      <c r="E5" s="5"/>
      <c r="F5" s="5"/>
      <c r="G5" s="5"/>
      <c r="H5" s="5"/>
      <c r="I5" s="78"/>
    </row>
    <row r="6" spans="2:9" s="1" customFormat="1" ht="45.75" customHeight="1" thickBot="1">
      <c r="B6" s="244" t="s">
        <v>1</v>
      </c>
      <c r="C6" s="245"/>
      <c r="D6" s="245"/>
      <c r="E6" s="245"/>
      <c r="F6" s="245"/>
      <c r="G6" s="245"/>
      <c r="H6" s="245"/>
      <c r="I6" s="246"/>
    </row>
    <row r="7" spans="2:9" s="140" customFormat="1" ht="45.75" customHeight="1" thickBot="1">
      <c r="B7" s="241" t="s">
        <v>2</v>
      </c>
      <c r="C7" s="242"/>
      <c r="D7" s="242"/>
      <c r="E7" s="242"/>
      <c r="F7" s="242"/>
      <c r="G7" s="242"/>
      <c r="H7" s="242"/>
      <c r="I7" s="243"/>
    </row>
    <row r="8" spans="2:9" s="1" customFormat="1" ht="45.75" customHeight="1" thickBot="1">
      <c r="B8" s="241" t="s">
        <v>3</v>
      </c>
      <c r="C8" s="242"/>
      <c r="D8" s="242"/>
      <c r="E8" s="242"/>
      <c r="F8" s="242"/>
      <c r="G8" s="242"/>
      <c r="H8" s="242"/>
      <c r="I8" s="243"/>
    </row>
    <row r="9" spans="2:9" s="1" customFormat="1" ht="45.75" customHeight="1" thickBot="1">
      <c r="B9" s="241" t="s">
        <v>4</v>
      </c>
      <c r="C9" s="242"/>
      <c r="D9" s="242"/>
      <c r="E9" s="242"/>
      <c r="F9" s="242"/>
      <c r="G9" s="242"/>
      <c r="H9" s="242"/>
      <c r="I9" s="243"/>
    </row>
    <row r="10" spans="2:9" s="1" customFormat="1" ht="45.75" customHeight="1" thickBot="1">
      <c r="B10" s="247" t="s">
        <v>5</v>
      </c>
      <c r="C10" s="248"/>
      <c r="D10" s="248"/>
      <c r="E10" s="248"/>
      <c r="F10" s="248"/>
      <c r="G10" s="248"/>
      <c r="H10" s="248"/>
      <c r="I10" s="249"/>
    </row>
    <row r="11" spans="2:9" s="1" customFormat="1" ht="45.75" customHeight="1" thickBot="1">
      <c r="B11" s="244" t="s">
        <v>6</v>
      </c>
      <c r="C11" s="245"/>
      <c r="D11" s="245"/>
      <c r="E11" s="245"/>
      <c r="F11" s="245"/>
      <c r="G11" s="245"/>
      <c r="H11" s="245"/>
      <c r="I11" s="246"/>
    </row>
    <row r="12" spans="2:9" ht="52.5" customHeight="1"/>
    <row r="13" spans="2:9" ht="20.25">
      <c r="B13" s="141"/>
    </row>
    <row r="14" spans="2:9">
      <c r="B14" s="142"/>
    </row>
  </sheetData>
  <mergeCells count="7">
    <mergeCell ref="B4:I4"/>
    <mergeCell ref="B8:I8"/>
    <mergeCell ref="B11:I11"/>
    <mergeCell ref="B10:I10"/>
    <mergeCell ref="B9:I9"/>
    <mergeCell ref="B6:I6"/>
    <mergeCell ref="B7:I7"/>
  </mergeCells>
  <phoneticPr fontId="43" type="noConversion"/>
  <pageMargins left="0.511811024" right="0.511811024" top="0.78740157499999996" bottom="0.78740157499999996" header="0.31496062000000002" footer="0.31496062000000002"/>
  <pageSetup paperSize="28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/>
    <row r="4" spans="2:12" ht="43.5" customHeight="1">
      <c r="B4" s="442" t="s">
        <v>374</v>
      </c>
      <c r="C4" s="442"/>
      <c r="D4" s="442"/>
      <c r="E4" s="442"/>
      <c r="F4" s="442"/>
    </row>
    <row r="5" spans="2:12" ht="3" customHeight="1"/>
    <row r="6" spans="2:12" ht="27.75" customHeight="1">
      <c r="B6" s="458" t="s">
        <v>375</v>
      </c>
      <c r="C6" s="459"/>
      <c r="D6" s="459"/>
      <c r="E6" s="459"/>
      <c r="F6" s="460"/>
      <c r="L6" t="s">
        <v>376</v>
      </c>
    </row>
    <row r="7" spans="2:12" s="2" customFormat="1" ht="30" customHeight="1">
      <c r="B7" s="443" t="s">
        <v>377</v>
      </c>
      <c r="C7" s="444"/>
      <c r="D7" s="14"/>
      <c r="E7" s="14"/>
      <c r="F7" s="14"/>
      <c r="G7" s="4"/>
      <c r="H7" s="4"/>
      <c r="I7" s="4"/>
      <c r="J7" s="4"/>
      <c r="K7" s="4"/>
      <c r="L7" s="2" t="s">
        <v>12</v>
      </c>
    </row>
    <row r="8" spans="2:12">
      <c r="L8" t="s">
        <v>24</v>
      </c>
    </row>
    <row r="9" spans="2:12" s="1" customFormat="1" ht="24" customHeight="1">
      <c r="B9" s="10" t="s">
        <v>378</v>
      </c>
      <c r="C9" s="11"/>
      <c r="D9" s="11"/>
      <c r="E9" s="11"/>
      <c r="F9" s="12"/>
      <c r="G9" s="140"/>
      <c r="H9" s="140"/>
      <c r="I9" s="140"/>
      <c r="J9" s="140"/>
      <c r="K9" s="140"/>
      <c r="L9" s="140"/>
    </row>
    <row r="10" spans="2:12" s="1" customFormat="1" ht="20.25" customHeight="1">
      <c r="B10" s="8" t="s">
        <v>379</v>
      </c>
      <c r="C10" s="455"/>
      <c r="D10" s="456"/>
      <c r="E10" s="456"/>
      <c r="F10" s="457"/>
      <c r="G10" s="140"/>
      <c r="H10" s="140"/>
      <c r="I10" s="140"/>
      <c r="J10" s="140"/>
      <c r="K10" s="140"/>
      <c r="L10" s="140"/>
    </row>
    <row r="11" spans="2:12" s="1" customFormat="1" ht="33" customHeight="1">
      <c r="B11" s="6" t="s">
        <v>380</v>
      </c>
      <c r="C11" s="455"/>
      <c r="D11" s="456"/>
      <c r="E11" s="456"/>
      <c r="F11" s="457"/>
      <c r="G11" s="140"/>
      <c r="H11" s="140"/>
      <c r="I11" s="140"/>
      <c r="J11" s="140"/>
      <c r="K11" s="140"/>
      <c r="L11" s="140"/>
    </row>
    <row r="12" spans="2:12" s="1" customFormat="1" ht="20.25" customHeight="1">
      <c r="B12" s="8" t="s">
        <v>381</v>
      </c>
      <c r="C12" s="455"/>
      <c r="D12" s="456"/>
      <c r="E12" s="456"/>
      <c r="F12" s="457"/>
      <c r="G12" s="140"/>
      <c r="H12" s="140"/>
      <c r="I12" s="140"/>
      <c r="J12" s="140"/>
      <c r="K12" s="140"/>
      <c r="L12" s="140"/>
    </row>
    <row r="13" spans="2:12" s="1" customFormat="1" ht="30" customHeight="1">
      <c r="B13" s="8" t="s">
        <v>382</v>
      </c>
      <c r="C13" s="455"/>
      <c r="D13" s="456"/>
      <c r="E13" s="456"/>
      <c r="F13" s="457"/>
      <c r="G13" s="140"/>
      <c r="H13" s="140"/>
      <c r="I13" s="140"/>
      <c r="J13" s="140"/>
      <c r="K13" s="140"/>
      <c r="L13" s="140"/>
    </row>
    <row r="14" spans="2:12" s="1" customFormat="1" ht="27" customHeight="1">
      <c r="B14" s="8" t="s">
        <v>383</v>
      </c>
      <c r="C14" s="455"/>
      <c r="D14" s="456"/>
      <c r="E14" s="456"/>
      <c r="F14" s="457"/>
      <c r="G14" s="140"/>
      <c r="H14" s="140"/>
      <c r="I14" s="140"/>
      <c r="J14" s="140"/>
      <c r="K14" s="140"/>
      <c r="L14" s="140"/>
    </row>
    <row r="15" spans="2:12" s="1" customFormat="1" ht="26.25" customHeight="1">
      <c r="B15" s="8" t="s">
        <v>384</v>
      </c>
      <c r="C15" s="455"/>
      <c r="D15" s="456"/>
      <c r="E15" s="456"/>
      <c r="F15" s="457"/>
      <c r="G15" s="140"/>
      <c r="H15" s="140"/>
      <c r="I15" s="140"/>
      <c r="J15" s="140"/>
      <c r="K15" s="140"/>
      <c r="L15" s="140"/>
    </row>
    <row r="16" spans="2:12" s="1" customFormat="1">
      <c r="B16" s="9"/>
      <c r="C16" s="9"/>
      <c r="D16" s="9"/>
      <c r="E16" s="9"/>
      <c r="F16" s="9"/>
      <c r="G16" s="140"/>
      <c r="H16" s="140"/>
      <c r="I16" s="140"/>
      <c r="J16" s="140"/>
      <c r="K16" s="140"/>
      <c r="L16" s="140"/>
    </row>
    <row r="17" spans="2:10" s="1" customFormat="1" ht="24" customHeight="1">
      <c r="B17" s="10" t="s">
        <v>385</v>
      </c>
      <c r="C17" s="11"/>
      <c r="D17" s="11"/>
      <c r="E17" s="11"/>
      <c r="F17" s="12"/>
      <c r="G17" s="140"/>
      <c r="H17" s="140"/>
      <c r="I17" s="140"/>
      <c r="J17" s="140"/>
    </row>
    <row r="18" spans="2:10" s="1" customFormat="1" ht="14.25" customHeight="1">
      <c r="B18" s="237" t="s">
        <v>386</v>
      </c>
      <c r="C18" s="13"/>
      <c r="D18" s="13"/>
      <c r="E18" s="13"/>
      <c r="F18" s="13"/>
      <c r="G18" s="140"/>
      <c r="H18" s="140"/>
      <c r="I18" s="140"/>
      <c r="J18" s="140"/>
    </row>
    <row r="19" spans="2:10" s="1" customFormat="1" ht="33" customHeight="1">
      <c r="B19" s="7" t="s">
        <v>387</v>
      </c>
      <c r="C19" s="448"/>
      <c r="D19" s="449"/>
      <c r="E19" s="449"/>
      <c r="F19" s="450"/>
      <c r="G19" s="140"/>
      <c r="H19" s="140"/>
      <c r="I19" s="140"/>
      <c r="J19" s="140"/>
    </row>
    <row r="20" spans="2:10" s="1" customFormat="1" ht="15.75" customHeight="1">
      <c r="B20" s="19" t="s">
        <v>388</v>
      </c>
      <c r="C20" s="451"/>
      <c r="D20" s="452"/>
      <c r="E20" s="452"/>
      <c r="F20" s="453"/>
      <c r="G20" s="35"/>
      <c r="H20" s="35" t="s">
        <v>389</v>
      </c>
      <c r="I20" s="35"/>
      <c r="J20" s="35"/>
    </row>
    <row r="21" spans="2:10" s="1" customFormat="1" ht="33" customHeight="1">
      <c r="B21" s="7" t="s">
        <v>390</v>
      </c>
      <c r="C21" s="448"/>
      <c r="D21" s="449"/>
      <c r="E21" s="449"/>
      <c r="F21" s="450"/>
      <c r="G21" s="140"/>
      <c r="H21" s="140"/>
      <c r="I21" s="140"/>
      <c r="J21" s="140"/>
    </row>
    <row r="22" spans="2:10" s="1" customFormat="1" ht="15.75" customHeight="1">
      <c r="B22" s="19" t="s">
        <v>388</v>
      </c>
      <c r="C22" s="451"/>
      <c r="D22" s="452"/>
      <c r="E22" s="452"/>
      <c r="F22" s="453"/>
      <c r="G22" s="140"/>
      <c r="H22" s="140"/>
      <c r="I22" s="140"/>
      <c r="J22" s="140"/>
    </row>
    <row r="23" spans="2:10" s="1" customFormat="1" ht="33" customHeight="1">
      <c r="B23" s="7" t="s">
        <v>391</v>
      </c>
      <c r="C23" s="448"/>
      <c r="D23" s="449"/>
      <c r="E23" s="449"/>
      <c r="F23" s="450"/>
      <c r="G23" s="140"/>
      <c r="H23" s="140"/>
      <c r="I23" s="140"/>
      <c r="J23" s="140"/>
    </row>
    <row r="24" spans="2:10" s="1" customFormat="1" ht="15.75" customHeight="1">
      <c r="B24" s="19" t="s">
        <v>388</v>
      </c>
      <c r="C24" s="451"/>
      <c r="D24" s="452"/>
      <c r="E24" s="452"/>
      <c r="F24" s="453"/>
      <c r="G24" s="140"/>
      <c r="H24" s="140"/>
      <c r="I24" s="140"/>
      <c r="J24" s="140"/>
    </row>
    <row r="25" spans="2:10" s="1" customFormat="1" ht="33" customHeight="1">
      <c r="B25" s="38" t="s">
        <v>392</v>
      </c>
      <c r="C25" s="448"/>
      <c r="D25" s="449"/>
      <c r="E25" s="449"/>
      <c r="F25" s="450"/>
      <c r="G25" s="140"/>
      <c r="H25" s="140"/>
      <c r="I25" s="140"/>
      <c r="J25" s="140"/>
    </row>
    <row r="26" spans="2:10" s="1" customFormat="1" ht="25.5" customHeight="1">
      <c r="B26" s="8" t="s">
        <v>393</v>
      </c>
      <c r="C26" s="8" t="s">
        <v>394</v>
      </c>
      <c r="D26" s="20"/>
      <c r="E26" s="8" t="s">
        <v>395</v>
      </c>
      <c r="F26" s="20"/>
      <c r="G26" s="140"/>
      <c r="H26" s="140"/>
      <c r="I26" s="140"/>
      <c r="J26" s="140"/>
    </row>
    <row r="27" spans="2:10" s="1" customFormat="1">
      <c r="B27" s="454"/>
      <c r="C27" s="454"/>
      <c r="D27" s="454"/>
      <c r="E27" s="454"/>
      <c r="F27" s="454"/>
      <c r="G27" s="140"/>
      <c r="H27" s="140"/>
      <c r="I27" s="140"/>
      <c r="J27" s="140"/>
    </row>
    <row r="28" spans="2:10" s="1" customFormat="1" ht="24" customHeight="1">
      <c r="B28" s="10" t="s">
        <v>396</v>
      </c>
      <c r="C28" s="11"/>
      <c r="D28" s="11"/>
      <c r="E28" s="11"/>
      <c r="F28" s="12"/>
      <c r="G28" s="140"/>
      <c r="H28" s="140"/>
      <c r="I28" s="140"/>
      <c r="J28" s="140"/>
    </row>
    <row r="29" spans="2:10" s="1" customFormat="1" ht="20.100000000000001" customHeight="1">
      <c r="B29" s="8" t="s">
        <v>397</v>
      </c>
      <c r="C29" s="463"/>
      <c r="D29" s="463"/>
      <c r="E29" s="463"/>
      <c r="F29" s="463"/>
      <c r="G29" s="140"/>
      <c r="H29" s="140"/>
      <c r="I29" s="140"/>
      <c r="J29" s="140"/>
    </row>
    <row r="30" spans="2:10" s="1" customFormat="1" ht="20.100000000000001" customHeight="1">
      <c r="B30" s="7" t="s">
        <v>398</v>
      </c>
      <c r="C30" s="21"/>
      <c r="D30" s="8" t="s">
        <v>237</v>
      </c>
      <c r="E30" s="21"/>
      <c r="F30" s="21" t="s">
        <v>399</v>
      </c>
      <c r="G30" s="140"/>
      <c r="H30" s="140"/>
      <c r="I30" s="140"/>
      <c r="J30" s="140"/>
    </row>
    <row r="31" spans="2:10" s="1" customFormat="1">
      <c r="B31" s="462"/>
      <c r="C31" s="462"/>
      <c r="D31" s="462"/>
      <c r="E31" s="462"/>
      <c r="F31" s="462"/>
      <c r="G31" s="140"/>
      <c r="H31" s="140"/>
      <c r="I31" s="140"/>
      <c r="J31" s="140"/>
    </row>
    <row r="32" spans="2:10" s="1" customFormat="1" ht="24" customHeight="1">
      <c r="B32" s="445" t="s">
        <v>400</v>
      </c>
      <c r="C32" s="446"/>
      <c r="D32" s="446"/>
      <c r="E32" s="446"/>
      <c r="F32" s="447"/>
      <c r="G32" s="140"/>
      <c r="H32" s="140"/>
      <c r="I32" s="140"/>
      <c r="J32" s="140"/>
    </row>
    <row r="33" spans="2:6" s="1" customFormat="1" ht="63.75" customHeight="1">
      <c r="B33" s="464"/>
      <c r="C33" s="465"/>
      <c r="D33" s="465"/>
      <c r="E33" s="465"/>
      <c r="F33" s="466"/>
    </row>
    <row r="34" spans="2:6" s="1" customFormat="1" ht="20.100000000000001" customHeight="1">
      <c r="B34" s="461"/>
      <c r="C34" s="461"/>
      <c r="D34" s="461"/>
      <c r="E34" s="461"/>
      <c r="F34" s="461"/>
    </row>
    <row r="35" spans="2:6" s="5" customFormat="1"/>
  </sheetData>
  <sheetProtection formatCells="0" selectLockedCells="1"/>
  <dataConsolidate link="1"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2">
    <dataValidation type="list" allowBlank="1" showInputMessage="1" showErrorMessage="1" sqref="C20:F20 C22:F22 C24:F24">
      <formula1>$L$4:$L$8</formula1>
    </dataValidation>
    <dataValidation type="list" allowBlank="1" showInputMessage="1" showErrorMessage="1" sqref="C21:F21 C23:F23">
      <formula1>$B$11:$B$26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Projetos'!$B$11:$B$24</xm:f>
          </x14:formula1>
          <xm:sqref>C19:F19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Y25"/>
  <sheetViews>
    <sheetView showGridLines="0" zoomScale="66" zoomScaleNormal="66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I15" sqref="H15:I15"/>
    </sheetView>
  </sheetViews>
  <sheetFormatPr defaultColWidth="9.140625" defaultRowHeight="14.25"/>
  <cols>
    <col min="1" max="1" width="21.5703125" style="15" customWidth="1"/>
    <col min="2" max="2" width="73.42578125" style="15" customWidth="1"/>
    <col min="3" max="3" width="18.28515625" style="15" customWidth="1"/>
    <col min="4" max="24" width="9.7109375" style="15" customWidth="1"/>
    <col min="25" max="27" width="9.140625" style="15" customWidth="1"/>
    <col min="28" max="16384" width="9.140625" style="15"/>
  </cols>
  <sheetData>
    <row r="1" spans="1:25" ht="15" customHeight="1"/>
    <row r="2" spans="1:25" ht="15" customHeight="1"/>
    <row r="3" spans="1:25" ht="15" customHeight="1"/>
    <row r="4" spans="1:25" ht="15" customHeight="1"/>
    <row r="5" spans="1:25" ht="15" customHeight="1"/>
    <row r="6" spans="1:25" ht="42" customHeight="1">
      <c r="A6" s="252" t="s">
        <v>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31"/>
      <c r="Q6" s="31"/>
      <c r="R6" s="31"/>
      <c r="S6" s="31"/>
      <c r="T6" s="31"/>
      <c r="U6" s="31"/>
      <c r="V6" s="31"/>
      <c r="W6" s="31"/>
    </row>
    <row r="7" spans="1:25" ht="24" customHeight="1">
      <c r="A7" s="251" t="s">
        <v>8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</row>
    <row r="8" spans="1:25" ht="33.75" customHeight="1">
      <c r="A8" s="251" t="s">
        <v>9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</row>
    <row r="9" spans="1:25" ht="33.75" customHeight="1">
      <c r="A9" s="32"/>
      <c r="B9" s="32"/>
    </row>
    <row r="10" spans="1:25" ht="132" customHeight="1">
      <c r="A10" s="79" t="s">
        <v>10</v>
      </c>
      <c r="B10" s="80" t="s">
        <v>11</v>
      </c>
      <c r="C10" s="72" t="str">
        <f>IF('Quadro Geral'!$C10="","",'Quadro Geral'!$C10)</f>
        <v>Funcionamento do CAU/DF</v>
      </c>
      <c r="D10" s="72" t="str">
        <f>IF('Quadro Geral'!$C10="","",'Quadro Geral'!$C11)</f>
        <v>Comunicação do CAU/DF</v>
      </c>
      <c r="E10" s="72" t="str">
        <f>IF('Quadro Geral'!$C10="","",'Quadro Geral'!$C12)</f>
        <v>Fiscalização 2019</v>
      </c>
      <c r="F10" s="72" t="str">
        <f>IF('Quadro Geral'!$C10="","",'Quadro Geral'!$C13)</f>
        <v>Atendimento aos Arquitetos e Urbanistas</v>
      </c>
      <c r="G10" s="72" t="str">
        <f>IF('Quadro Geral'!$C10="","",'Quadro Geral'!$C14)</f>
        <v>Capacitação dos Colaboradores do CAU/DF</v>
      </c>
      <c r="H10" s="72" t="str">
        <f>IF('Quadro Geral'!$C10="","",'Quadro Geral'!$C15)</f>
        <v>Centro de Serviço Compartilhado - Fiscalização</v>
      </c>
      <c r="I10" s="72" t="str">
        <f>IF('Quadro Geral'!$C10="","",'Quadro Geral'!$C16)</f>
        <v>Centro de Serviço Compartilhado - Atendimento</v>
      </c>
      <c r="J10" s="72" t="str">
        <f>IF('Quadro Geral'!$C10="","",'Quadro Geral'!$C17)</f>
        <v>Fundo de Apoio CAU/DF</v>
      </c>
      <c r="K10" s="72" t="str">
        <f>IF('Quadro Geral'!$C10="","",'Quadro Geral'!$C18)</f>
        <v>Assistência Técnica</v>
      </c>
      <c r="L10" s="72" t="str">
        <f>IF('Quadro Geral'!$C10="","",'Quadro Geral'!$C19)</f>
        <v>Patrocinar Eventos de Interesse da Arquitetura e Urbanismo.</v>
      </c>
      <c r="M10" s="72" t="str">
        <f>IF('Quadro Geral'!$C10="","",'Quadro Geral'!$C20)</f>
        <v>Reserva de Contingência CAU/DF</v>
      </c>
      <c r="N10" s="72" t="str">
        <f>IF('Quadro Geral'!$C10="","",'Quadro Geral'!$C21)</f>
        <v>Nova SEDE CAU/DF</v>
      </c>
      <c r="O10" s="72" t="e">
        <f>IF('Quadro Geral'!$C10="","",'Quadro Geral'!#REF!)</f>
        <v>#REF!</v>
      </c>
      <c r="P10" s="72" t="e">
        <f>IF('Quadro Geral'!$C10="","",'Quadro Geral'!#REF!)</f>
        <v>#REF!</v>
      </c>
      <c r="Q10" s="72" t="e">
        <f>IF('Quadro Geral'!$C10="","",'Quadro Geral'!#REF!)</f>
        <v>#REF!</v>
      </c>
      <c r="R10" s="72" t="e">
        <f>IF('Quadro Geral'!$C10="","",'Quadro Geral'!#REF!)</f>
        <v>#REF!</v>
      </c>
      <c r="S10" s="72" t="e">
        <f>IF('Quadro Geral'!$C10="","",'Quadro Geral'!#REF!)</f>
        <v>#REF!</v>
      </c>
      <c r="T10" s="72" t="e">
        <f>IF('Quadro Geral'!$C10="","",'Quadro Geral'!#REF!)</f>
        <v>#REF!</v>
      </c>
      <c r="U10" s="72" t="e">
        <f>IF('Quadro Geral'!$C10="","",'Quadro Geral'!#REF!)</f>
        <v>#REF!</v>
      </c>
      <c r="V10" s="72" t="e">
        <f>IF('Quadro Geral'!$C10="","",'Quadro Geral'!#REF!)</f>
        <v>#REF!</v>
      </c>
      <c r="W10" s="72" t="e">
        <f>IF('Quadro Geral'!$C10="","",'Quadro Geral'!#REF!)</f>
        <v>#REF!</v>
      </c>
    </row>
    <row r="11" spans="1:25" ht="63" customHeight="1">
      <c r="A11" s="250" t="s">
        <v>12</v>
      </c>
      <c r="B11" s="81" t="s">
        <v>13</v>
      </c>
      <c r="C11" s="18" t="str">
        <f>IFERROR(IF(VLOOKUP(C$10,'Quadro Geral'!$C$10:$E$26,3,FALSE)='Matriz Objetivos x Projetos'!$B11,"P",IF(OR(VLOOKUP('Matriz Objetivos x Projetos'!C$10,'Quadro Geral'!$C$10:$E$26,4,FALSE)='Matriz Objetivos x Projetos'!$B11,VLOOKUP('Matriz Objetivos x Projetos'!C$10,'Quadro Geral'!$C$10:$E$21,5,FALSE)='Matriz Objetivos x Projetos'!$B11),"S","")),"")</f>
        <v/>
      </c>
      <c r="D11" s="18" t="str">
        <f>IFERROR(IF(VLOOKUP(D$10,'Quadro Geral'!$C$10:$E$26,3,FALSE)='Matriz Objetivos x Projetos'!$B11,"P",IF(OR(VLOOKUP('Matriz Objetivos x Projetos'!D$10,'Quadro Geral'!$C$10:$E$26,4,FALSE)='Matriz Objetivos x Projetos'!$B11,VLOOKUP('Matriz Objetivos x Projetos'!D$10,'Quadro Geral'!$C$10:$E$21,5,FALSE)='Matriz Objetivos x Projetos'!$B11),"S","")),"")</f>
        <v/>
      </c>
      <c r="E11" s="18" t="str">
        <f>IFERROR(IF(VLOOKUP(E$10,'Quadro Geral'!$C$10:$E$26,3,FALSE)='Matriz Objetivos x Projetos'!$B11,"P",IF(OR(VLOOKUP('Matriz Objetivos x Projetos'!E$10,'Quadro Geral'!$C$10:$E$26,4,FALSE)='Matriz Objetivos x Projetos'!$B11,VLOOKUP('Matriz Objetivos x Projetos'!E$10,'Quadro Geral'!$C$10:$E$21,5,FALSE)='Matriz Objetivos x Projetos'!$B11),"S","")),"")</f>
        <v/>
      </c>
      <c r="F11" s="18" t="str">
        <f>IFERROR(IF(VLOOKUP(F$10,'Quadro Geral'!$C$10:$E$26,3,FALSE)='Matriz Objetivos x Projetos'!$B11,"P",IF(OR(VLOOKUP('Matriz Objetivos x Projetos'!F$10,'Quadro Geral'!$C$10:$E$26,4,FALSE)='Matriz Objetivos x Projetos'!$B11,VLOOKUP('Matriz Objetivos x Projetos'!F$10,'Quadro Geral'!$C$10:$E$21,5,FALSE)='Matriz Objetivos x Projetos'!$B11),"S","")),"")</f>
        <v/>
      </c>
      <c r="G11" s="18" t="str">
        <f>IFERROR(IF(VLOOKUP(G$10,'Quadro Geral'!$C$10:$E$26,3,FALSE)='Matriz Objetivos x Projetos'!$B11,"P",IF(OR(VLOOKUP('Matriz Objetivos x Projetos'!G$10,'Quadro Geral'!$C$10:$E$26,4,FALSE)='Matriz Objetivos x Projetos'!$B11,VLOOKUP('Matriz Objetivos x Projetos'!G$10,'Quadro Geral'!$C$10:$E$21,5,FALSE)='Matriz Objetivos x Projetos'!$B11),"S","")),"")</f>
        <v/>
      </c>
      <c r="H11" s="18" t="str">
        <f>IFERROR(IF(VLOOKUP(H$10,'Quadro Geral'!$C$10:$E$26,3,FALSE)='Matriz Objetivos x Projetos'!$B11,"P",IF(OR(VLOOKUP('Matriz Objetivos x Projetos'!H$10,'Quadro Geral'!$C$10:$E$26,4,FALSE)='Matriz Objetivos x Projetos'!$B11,VLOOKUP('Matriz Objetivos x Projetos'!H$10,'Quadro Geral'!$C$10:$E$21,5,FALSE)='Matriz Objetivos x Projetos'!$B11),"S","")),"")</f>
        <v/>
      </c>
      <c r="I11" s="18" t="str">
        <f>IFERROR(IF(VLOOKUP(I$10,'Quadro Geral'!$C$10:$E$26,3,FALSE)='Matriz Objetivos x Projetos'!$B11,"P",IF(OR(VLOOKUP('Matriz Objetivos x Projetos'!I$10,'Quadro Geral'!$C$10:$E$26,4,FALSE)='Matriz Objetivos x Projetos'!$B11,VLOOKUP('Matriz Objetivos x Projetos'!I$10,'Quadro Geral'!$C$10:$E$21,5,FALSE)='Matriz Objetivos x Projetos'!$B11),"S","")),"")</f>
        <v/>
      </c>
      <c r="J11" s="18" t="str">
        <f>IFERROR(IF(VLOOKUP(J$10,'Quadro Geral'!$C$10:$E$26,3,FALSE)='Matriz Objetivos x Projetos'!$B11,"P",IF(OR(VLOOKUP('Matriz Objetivos x Projetos'!J$10,'Quadro Geral'!$C$10:$E$26,4,FALSE)='Matriz Objetivos x Projetos'!$B11,VLOOKUP('Matriz Objetivos x Projetos'!J$10,'Quadro Geral'!$C$10:$E$21,5,FALSE)='Matriz Objetivos x Projetos'!$B11),"S","")),"")</f>
        <v/>
      </c>
      <c r="K11" s="18" t="str">
        <f>IFERROR(IF(VLOOKUP(K$10,'Quadro Geral'!$C$10:$E$26,3,FALSE)='Matriz Objetivos x Projetos'!$B11,"P",IF(OR(VLOOKUP('Matriz Objetivos x Projetos'!K$10,'Quadro Geral'!$C$10:$E$26,4,FALSE)='Matriz Objetivos x Projetos'!$B11,VLOOKUP('Matriz Objetivos x Projetos'!K$10,'Quadro Geral'!$C$10:$E$21,5,FALSE)='Matriz Objetivos x Projetos'!$B11),"S","")),"")</f>
        <v/>
      </c>
      <c r="L11" s="18" t="str">
        <f>IFERROR(IF(VLOOKUP(L$10,'Quadro Geral'!$C$10:$E$26,3,FALSE)='Matriz Objetivos x Projetos'!$B11,"P",IF(OR(VLOOKUP('Matriz Objetivos x Projetos'!L$10,'Quadro Geral'!$C$10:$E$26,4,FALSE)='Matriz Objetivos x Projetos'!$B11,VLOOKUP('Matriz Objetivos x Projetos'!L$10,'Quadro Geral'!$C$10:$E$21,5,FALSE)='Matriz Objetivos x Projetos'!$B11),"S","")),"")</f>
        <v/>
      </c>
      <c r="M11" s="18" t="str">
        <f>IFERROR(IF(VLOOKUP(M$10,'Quadro Geral'!$C$10:$E$26,3,FALSE)='Matriz Objetivos x Projetos'!$B11,"P",IF(OR(VLOOKUP('Matriz Objetivos x Projetos'!M$10,'Quadro Geral'!$C$10:$E$26,4,FALSE)='Matriz Objetivos x Projetos'!$B11,VLOOKUP('Matriz Objetivos x Projetos'!M$10,'Quadro Geral'!$C$10:$E$21,5,FALSE)='Matriz Objetivos x Projetos'!$B11),"S","")),"")</f>
        <v/>
      </c>
      <c r="N11" s="18" t="str">
        <f>IFERROR(IF(VLOOKUP(N$10,'Quadro Geral'!$C$10:$E$26,3,FALSE)='Matriz Objetivos x Projetos'!$B11,"P",IF(OR(VLOOKUP('Matriz Objetivos x Projetos'!N$10,'Quadro Geral'!$C$10:$E$26,4,FALSE)='Matriz Objetivos x Projetos'!$B11,VLOOKUP('Matriz Objetivos x Projetos'!N$10,'Quadro Geral'!$C$10:$E$21,5,FALSE)='Matriz Objetivos x Projetos'!$B11),"S","")),"")</f>
        <v/>
      </c>
      <c r="O11" s="18" t="str">
        <f>IFERROR(IF(VLOOKUP(O$10,'Quadro Geral'!$C$10:$E$26,3,FALSE)='Matriz Objetivos x Projetos'!$B11,"P",IF(OR(VLOOKUP('Matriz Objetivos x Projetos'!O$10,'Quadro Geral'!$C$10:$E$26,4,FALSE)='Matriz Objetivos x Projetos'!$B11,VLOOKUP('Matriz Objetivos x Projetos'!O$10,'Quadro Geral'!$C$10:$E$21,5,FALSE)='Matriz Objetivos x Projetos'!$B11),"S","")),"")</f>
        <v/>
      </c>
      <c r="P11" s="18" t="str">
        <f>IFERROR(IF(VLOOKUP(P$10,'Quadro Geral'!$C$10:$E$26,3,FALSE)='Matriz Objetivos x Projetos'!$B11,"P",IF(OR(VLOOKUP('Matriz Objetivos x Projetos'!P$10,'Quadro Geral'!$C$10:$E$26,4,FALSE)='Matriz Objetivos x Projetos'!$B11,VLOOKUP('Matriz Objetivos x Projetos'!P$10,'Quadro Geral'!$C$10:$E$21,5,FALSE)='Matriz Objetivos x Projetos'!$B11),"S","")),"")</f>
        <v/>
      </c>
      <c r="Q11" s="18" t="str">
        <f>IFERROR(IF(VLOOKUP(Q$10,'Quadro Geral'!$C$10:$E$26,3,FALSE)='Matriz Objetivos x Projetos'!$B11,"P",IF(OR(VLOOKUP('Matriz Objetivos x Projetos'!Q$10,'Quadro Geral'!$C$10:$E$26,4,FALSE)='Matriz Objetivos x Projetos'!$B11,VLOOKUP('Matriz Objetivos x Projetos'!Q$10,'Quadro Geral'!$C$10:$E$21,5,FALSE)='Matriz Objetivos x Projetos'!$B11),"S","")),"")</f>
        <v/>
      </c>
      <c r="R11" s="18" t="str">
        <f>IFERROR(IF(VLOOKUP(R$10,'Quadro Geral'!$C$10:$E$26,3,FALSE)='Matriz Objetivos x Projetos'!$B11,"P",IF(OR(VLOOKUP('Matriz Objetivos x Projetos'!R$10,'Quadro Geral'!$C$10:$E$26,4,FALSE)='Matriz Objetivos x Projetos'!$B11,VLOOKUP('Matriz Objetivos x Projetos'!R$10,'Quadro Geral'!$C$10:$E$21,5,FALSE)='Matriz Objetivos x Projetos'!$B11),"S","")),"")</f>
        <v/>
      </c>
      <c r="S11" s="18" t="str">
        <f>IFERROR(IF(VLOOKUP(S$10,'Quadro Geral'!$C$10:$E$26,3,FALSE)='Matriz Objetivos x Projetos'!$B11,"P",IF(OR(VLOOKUP('Matriz Objetivos x Projetos'!S$10,'Quadro Geral'!$C$10:$E$26,4,FALSE)='Matriz Objetivos x Projetos'!$B11,VLOOKUP('Matriz Objetivos x Projetos'!S$10,'Quadro Geral'!$C$10:$E$21,5,FALSE)='Matriz Objetivos x Projetos'!$B11),"S","")),"")</f>
        <v/>
      </c>
      <c r="T11" s="18" t="str">
        <f>IFERROR(IF(VLOOKUP(T$10,'Quadro Geral'!$C$10:$E$26,3,FALSE)='Matriz Objetivos x Projetos'!$B11,"P",IF(OR(VLOOKUP('Matriz Objetivos x Projetos'!T$10,'Quadro Geral'!$C$10:$E$26,4,FALSE)='Matriz Objetivos x Projetos'!$B11,VLOOKUP('Matriz Objetivos x Projetos'!T$10,'Quadro Geral'!$C$10:$E$21,5,FALSE)='Matriz Objetivos x Projetos'!$B11),"S","")),"")</f>
        <v/>
      </c>
      <c r="U11" s="18" t="str">
        <f>IFERROR(IF(VLOOKUP(U$10,'Quadro Geral'!$C$10:$E$26,3,FALSE)='Matriz Objetivos x Projetos'!$B11,"P",IF(OR(VLOOKUP('Matriz Objetivos x Projetos'!U$10,'Quadro Geral'!$C$10:$E$26,4,FALSE)='Matriz Objetivos x Projetos'!$B11,VLOOKUP('Matriz Objetivos x Projetos'!U$10,'Quadro Geral'!$C$10:$E$21,5,FALSE)='Matriz Objetivos x Projetos'!$B11),"S","")),"")</f>
        <v/>
      </c>
      <c r="V11" s="18" t="str">
        <f>IFERROR(IF(VLOOKUP(V$10,'Quadro Geral'!$C$10:$E$26,3,FALSE)='Matriz Objetivos x Projetos'!$B11,"P",IF(OR(VLOOKUP('Matriz Objetivos x Projetos'!V$10,'Quadro Geral'!$C$10:$E$26,4,FALSE)='Matriz Objetivos x Projetos'!$B11,VLOOKUP('Matriz Objetivos x Projetos'!V$10,'Quadro Geral'!$C$10:$E$21,5,FALSE)='Matriz Objetivos x Projetos'!$B11),"S","")),"")</f>
        <v/>
      </c>
      <c r="W11" s="18" t="str">
        <f>IFERROR(IF(VLOOKUP(W$10,'Quadro Geral'!$C$10:$E$26,3,FALSE)='Matriz Objetivos x Projetos'!$B11,"P",IF(OR(VLOOKUP('Matriz Objetivos x Projetos'!W$10,'Quadro Geral'!$C$10:$E$26,4,FALSE)='Matriz Objetivos x Projetos'!$B11,VLOOKUP('Matriz Objetivos x Projetos'!W$10,'Quadro Geral'!$C$10:$E$21,5,FALSE)='Matriz Objetivos x Projetos'!$B11),"S","")),"")</f>
        <v/>
      </c>
      <c r="X11" s="16">
        <f t="shared" ref="X11:X24" si="0">COUNTIF(C11:W11,"x")</f>
        <v>0</v>
      </c>
      <c r="Y11" s="15" t="str">
        <f>IF(A11="",#REF!,A11)</f>
        <v>Processos Internos</v>
      </c>
    </row>
    <row r="12" spans="1:25" ht="63" customHeight="1">
      <c r="A12" s="250"/>
      <c r="B12" s="81" t="s">
        <v>14</v>
      </c>
      <c r="C12" s="18" t="str">
        <f>IFERROR(IF(VLOOKUP(C$10,'Quadro Geral'!$C$10:$E$26,3,FALSE)='Matriz Objetivos x Projetos'!$B12,"P",IF(OR(VLOOKUP('Matriz Objetivos x Projetos'!C$10,'Quadro Geral'!$C$10:$E$26,4,FALSE)='Matriz Objetivos x Projetos'!$B12,VLOOKUP('Matriz Objetivos x Projetos'!C$10,'Quadro Geral'!$C$10:$E$21,5,FALSE)='Matriz Objetivos x Projetos'!$B12),"S","")),"")</f>
        <v/>
      </c>
      <c r="D12" s="18" t="str">
        <f>IFERROR(IF(VLOOKUP(D$10,'Quadro Geral'!$C$10:$E$26,3,FALSE)='Matriz Objetivos x Projetos'!$B12,"P",IF(OR(VLOOKUP('Matriz Objetivos x Projetos'!D$10,'Quadro Geral'!$C$10:$E$26,4,FALSE)='Matriz Objetivos x Projetos'!$B12,VLOOKUP('Matriz Objetivos x Projetos'!D$10,'Quadro Geral'!$C$10:$E$21,5,FALSE)='Matriz Objetivos x Projetos'!$B12),"S","")),"")</f>
        <v/>
      </c>
      <c r="E12" s="18" t="str">
        <f>IFERROR(IF(VLOOKUP(E$10,'Quadro Geral'!$C$10:$E$26,3,FALSE)='Matriz Objetivos x Projetos'!$B12,"P",IF(OR(VLOOKUP('Matriz Objetivos x Projetos'!E$10,'Quadro Geral'!$C$10:$E$26,4,FALSE)='Matriz Objetivos x Projetos'!$B12,VLOOKUP('Matriz Objetivos x Projetos'!E$10,'Quadro Geral'!$C$10:$E$21,5,FALSE)='Matriz Objetivos x Projetos'!$B12),"S","")),"")</f>
        <v/>
      </c>
      <c r="F12" s="18" t="str">
        <f>IFERROR(IF(VLOOKUP(F$10,'Quadro Geral'!$C$10:$E$26,3,FALSE)='Matriz Objetivos x Projetos'!$B12,"P",IF(OR(VLOOKUP('Matriz Objetivos x Projetos'!F$10,'Quadro Geral'!$C$10:$E$26,4,FALSE)='Matriz Objetivos x Projetos'!$B12,VLOOKUP('Matriz Objetivos x Projetos'!F$10,'Quadro Geral'!$C$10:$E$21,5,FALSE)='Matriz Objetivos x Projetos'!$B12),"S","")),"")</f>
        <v/>
      </c>
      <c r="G12" s="18" t="str">
        <f>IFERROR(IF(VLOOKUP(G$10,'Quadro Geral'!$C$10:$E$26,3,FALSE)='Matriz Objetivos x Projetos'!$B12,"P",IF(OR(VLOOKUP('Matriz Objetivos x Projetos'!G$10,'Quadro Geral'!$C$10:$E$26,4,FALSE)='Matriz Objetivos x Projetos'!$B12,VLOOKUP('Matriz Objetivos x Projetos'!G$10,'Quadro Geral'!$C$10:$E$21,5,FALSE)='Matriz Objetivos x Projetos'!$B12),"S","")),"")</f>
        <v/>
      </c>
      <c r="H12" s="18" t="str">
        <f>IFERROR(IF(VLOOKUP(H$10,'Quadro Geral'!$C$10:$E$26,3,FALSE)='Matriz Objetivos x Projetos'!$B12,"P",IF(OR(VLOOKUP('Matriz Objetivos x Projetos'!H$10,'Quadro Geral'!$C$10:$E$26,4,FALSE)='Matriz Objetivos x Projetos'!$B12,VLOOKUP('Matriz Objetivos x Projetos'!H$10,'Quadro Geral'!$C$10:$E$21,5,FALSE)='Matriz Objetivos x Projetos'!$B12),"S","")),"")</f>
        <v/>
      </c>
      <c r="I12" s="18" t="str">
        <f>IFERROR(IF(VLOOKUP(I$10,'Quadro Geral'!$C$10:$E$26,3,FALSE)='Matriz Objetivos x Projetos'!$B12,"P",IF(OR(VLOOKUP('Matriz Objetivos x Projetos'!I$10,'Quadro Geral'!$C$10:$E$26,4,FALSE)='Matriz Objetivos x Projetos'!$B12,VLOOKUP('Matriz Objetivos x Projetos'!I$10,'Quadro Geral'!$C$10:$E$21,5,FALSE)='Matriz Objetivos x Projetos'!$B12),"S","")),"")</f>
        <v/>
      </c>
      <c r="J12" s="18" t="str">
        <f>IFERROR(IF(VLOOKUP(J$10,'Quadro Geral'!$C$10:$E$26,3,FALSE)='Matriz Objetivos x Projetos'!$B12,"P",IF(OR(VLOOKUP('Matriz Objetivos x Projetos'!J$10,'Quadro Geral'!$C$10:$E$26,4,FALSE)='Matriz Objetivos x Projetos'!$B12,VLOOKUP('Matriz Objetivos x Projetos'!J$10,'Quadro Geral'!$C$10:$E$21,5,FALSE)='Matriz Objetivos x Projetos'!$B12),"S","")),"")</f>
        <v/>
      </c>
      <c r="K12" s="18" t="str">
        <f>IFERROR(IF(VLOOKUP(K$10,'Quadro Geral'!$C$10:$E$26,3,FALSE)='Matriz Objetivos x Projetos'!$B12,"P",IF(OR(VLOOKUP('Matriz Objetivos x Projetos'!K$10,'Quadro Geral'!$C$10:$E$26,4,FALSE)='Matriz Objetivos x Projetos'!$B12,VLOOKUP('Matriz Objetivos x Projetos'!K$10,'Quadro Geral'!$C$10:$E$21,5,FALSE)='Matriz Objetivos x Projetos'!$B12),"S","")),"")</f>
        <v/>
      </c>
      <c r="L12" s="18" t="str">
        <f>IFERROR(IF(VLOOKUP(L$10,'Quadro Geral'!$C$10:$E$26,3,FALSE)='Matriz Objetivos x Projetos'!$B12,"P",IF(OR(VLOOKUP('Matriz Objetivos x Projetos'!L$10,'Quadro Geral'!$C$10:$E$26,4,FALSE)='Matriz Objetivos x Projetos'!$B12,VLOOKUP('Matriz Objetivos x Projetos'!L$10,'Quadro Geral'!$C$10:$E$21,5,FALSE)='Matriz Objetivos x Projetos'!$B12),"S","")),"")</f>
        <v/>
      </c>
      <c r="M12" s="18" t="str">
        <f>IFERROR(IF(VLOOKUP(M$10,'Quadro Geral'!$C$10:$E$26,3,FALSE)='Matriz Objetivos x Projetos'!$B12,"P",IF(OR(VLOOKUP('Matriz Objetivos x Projetos'!M$10,'Quadro Geral'!$C$10:$E$26,4,FALSE)='Matriz Objetivos x Projetos'!$B12,VLOOKUP('Matriz Objetivos x Projetos'!M$10,'Quadro Geral'!$C$10:$E$21,5,FALSE)='Matriz Objetivos x Projetos'!$B12),"S","")),"")</f>
        <v/>
      </c>
      <c r="N12" s="18" t="str">
        <f>IFERROR(IF(VLOOKUP(N$10,'Quadro Geral'!$C$10:$E$26,3,FALSE)='Matriz Objetivos x Projetos'!$B12,"P",IF(OR(VLOOKUP('Matriz Objetivos x Projetos'!N$10,'Quadro Geral'!$C$10:$E$26,4,FALSE)='Matriz Objetivos x Projetos'!$B12,VLOOKUP('Matriz Objetivos x Projetos'!N$10,'Quadro Geral'!$C$10:$E$21,5,FALSE)='Matriz Objetivos x Projetos'!$B12),"S","")),"")</f>
        <v/>
      </c>
      <c r="O12" s="18" t="str">
        <f>IFERROR(IF(VLOOKUP(O$10,'Quadro Geral'!$C$10:$E$26,3,FALSE)='Matriz Objetivos x Projetos'!$B12,"P",IF(OR(VLOOKUP('Matriz Objetivos x Projetos'!O$10,'Quadro Geral'!$C$10:$E$26,4,FALSE)='Matriz Objetivos x Projetos'!$B12,VLOOKUP('Matriz Objetivos x Projetos'!O$10,'Quadro Geral'!$C$10:$E$21,5,FALSE)='Matriz Objetivos x Projetos'!$B12),"S","")),"")</f>
        <v/>
      </c>
      <c r="P12" s="18" t="str">
        <f>IFERROR(IF(VLOOKUP(P$10,'Quadro Geral'!$C$10:$E$26,3,FALSE)='Matriz Objetivos x Projetos'!$B12,"P",IF(OR(VLOOKUP('Matriz Objetivos x Projetos'!P$10,'Quadro Geral'!$C$10:$E$26,4,FALSE)='Matriz Objetivos x Projetos'!$B12,VLOOKUP('Matriz Objetivos x Projetos'!P$10,'Quadro Geral'!$C$10:$E$21,5,FALSE)='Matriz Objetivos x Projetos'!$B12),"S","")),"")</f>
        <v/>
      </c>
      <c r="Q12" s="18" t="str">
        <f>IFERROR(IF(VLOOKUP(Q$10,'Quadro Geral'!$C$10:$E$26,3,FALSE)='Matriz Objetivos x Projetos'!$B12,"P",IF(OR(VLOOKUP('Matriz Objetivos x Projetos'!Q$10,'Quadro Geral'!$C$10:$E$26,4,FALSE)='Matriz Objetivos x Projetos'!$B12,VLOOKUP('Matriz Objetivos x Projetos'!Q$10,'Quadro Geral'!$C$10:$E$21,5,FALSE)='Matriz Objetivos x Projetos'!$B12),"S","")),"")</f>
        <v/>
      </c>
      <c r="R12" s="18" t="str">
        <f>IFERROR(IF(VLOOKUP(R$10,'Quadro Geral'!$C$10:$E$26,3,FALSE)='Matriz Objetivos x Projetos'!$B12,"P",IF(OR(VLOOKUP('Matriz Objetivos x Projetos'!R$10,'Quadro Geral'!$C$10:$E$26,4,FALSE)='Matriz Objetivos x Projetos'!$B12,VLOOKUP('Matriz Objetivos x Projetos'!R$10,'Quadro Geral'!$C$10:$E$21,5,FALSE)='Matriz Objetivos x Projetos'!$B12),"S","")),"")</f>
        <v/>
      </c>
      <c r="S12" s="18" t="str">
        <f>IFERROR(IF(VLOOKUP(S$10,'Quadro Geral'!$C$10:$E$26,3,FALSE)='Matriz Objetivos x Projetos'!$B12,"P",IF(OR(VLOOKUP('Matriz Objetivos x Projetos'!S$10,'Quadro Geral'!$C$10:$E$26,4,FALSE)='Matriz Objetivos x Projetos'!$B12,VLOOKUP('Matriz Objetivos x Projetos'!S$10,'Quadro Geral'!$C$10:$E$21,5,FALSE)='Matriz Objetivos x Projetos'!$B12),"S","")),"")</f>
        <v/>
      </c>
      <c r="T12" s="18" t="str">
        <f>IFERROR(IF(VLOOKUP(T$10,'Quadro Geral'!$C$10:$E$26,3,FALSE)='Matriz Objetivos x Projetos'!$B12,"P",IF(OR(VLOOKUP('Matriz Objetivos x Projetos'!T$10,'Quadro Geral'!$C$10:$E$26,4,FALSE)='Matriz Objetivos x Projetos'!$B12,VLOOKUP('Matriz Objetivos x Projetos'!T$10,'Quadro Geral'!$C$10:$E$21,5,FALSE)='Matriz Objetivos x Projetos'!$B12),"S","")),"")</f>
        <v/>
      </c>
      <c r="U12" s="18" t="str">
        <f>IFERROR(IF(VLOOKUP(U$10,'Quadro Geral'!$C$10:$E$26,3,FALSE)='Matriz Objetivos x Projetos'!$B12,"P",IF(OR(VLOOKUP('Matriz Objetivos x Projetos'!U$10,'Quadro Geral'!$C$10:$E$26,4,FALSE)='Matriz Objetivos x Projetos'!$B12,VLOOKUP('Matriz Objetivos x Projetos'!U$10,'Quadro Geral'!$C$10:$E$21,5,FALSE)='Matriz Objetivos x Projetos'!$B12),"S","")),"")</f>
        <v/>
      </c>
      <c r="V12" s="18" t="str">
        <f>IFERROR(IF(VLOOKUP(V$10,'Quadro Geral'!$C$10:$E$26,3,FALSE)='Matriz Objetivos x Projetos'!$B12,"P",IF(OR(VLOOKUP('Matriz Objetivos x Projetos'!V$10,'Quadro Geral'!$C$10:$E$26,4,FALSE)='Matriz Objetivos x Projetos'!$B12,VLOOKUP('Matriz Objetivos x Projetos'!V$10,'Quadro Geral'!$C$10:$E$21,5,FALSE)='Matriz Objetivos x Projetos'!$B12),"S","")),"")</f>
        <v/>
      </c>
      <c r="W12" s="18" t="str">
        <f>IFERROR(IF(VLOOKUP(W$10,'Quadro Geral'!$C$10:$E$26,3,FALSE)='Matriz Objetivos x Projetos'!$B12,"P",IF(OR(VLOOKUP('Matriz Objetivos x Projetos'!W$10,'Quadro Geral'!$C$10:$E$26,4,FALSE)='Matriz Objetivos x Projetos'!$B12,VLOOKUP('Matriz Objetivos x Projetos'!W$10,'Quadro Geral'!$C$10:$E$21,5,FALSE)='Matriz Objetivos x Projetos'!$B12),"S","")),"")</f>
        <v/>
      </c>
      <c r="X12" s="16">
        <f t="shared" si="0"/>
        <v>0</v>
      </c>
      <c r="Y12" s="15" t="str">
        <f t="shared" ref="Y12:Y24" si="1">IF(A12="",Y11,A12)</f>
        <v>Processos Internos</v>
      </c>
    </row>
    <row r="13" spans="1:25" ht="63" customHeight="1">
      <c r="A13" s="250"/>
      <c r="B13" s="81" t="s">
        <v>15</v>
      </c>
      <c r="C13" s="18" t="str">
        <f>IFERROR(IF(VLOOKUP(C$10,'Quadro Geral'!$C$10:$E$26,3,FALSE)='Matriz Objetivos x Projetos'!$B13,"P",IF(OR(VLOOKUP('Matriz Objetivos x Projetos'!C$10,'Quadro Geral'!$C$10:$E$26,4,FALSE)='Matriz Objetivos x Projetos'!$B13,VLOOKUP('Matriz Objetivos x Projetos'!C$10,'Quadro Geral'!$C$10:$E$21,5,FALSE)='Matriz Objetivos x Projetos'!$B13),"S","")),"")</f>
        <v/>
      </c>
      <c r="D13" s="18" t="str">
        <f>IFERROR(IF(VLOOKUP(D$10,'Quadro Geral'!$C$10:$E$26,3,FALSE)='Matriz Objetivos x Projetos'!$B13,"P",IF(OR(VLOOKUP('Matriz Objetivos x Projetos'!D$10,'Quadro Geral'!$C$10:$E$26,4,FALSE)='Matriz Objetivos x Projetos'!$B13,VLOOKUP('Matriz Objetivos x Projetos'!D$10,'Quadro Geral'!$C$10:$E$21,5,FALSE)='Matriz Objetivos x Projetos'!$B13),"S","")),"")</f>
        <v/>
      </c>
      <c r="E13" s="18" t="str">
        <f>IFERROR(IF(VLOOKUP(E$10,'Quadro Geral'!$C$10:$E$26,3,FALSE)='Matriz Objetivos x Projetos'!$B13,"P",IF(OR(VLOOKUP('Matriz Objetivos x Projetos'!E$10,'Quadro Geral'!$C$10:$E$26,4,FALSE)='Matriz Objetivos x Projetos'!$B13,VLOOKUP('Matriz Objetivos x Projetos'!E$10,'Quadro Geral'!$C$10:$E$21,5,FALSE)='Matriz Objetivos x Projetos'!$B13),"S","")),"")</f>
        <v/>
      </c>
      <c r="F13" s="18" t="str">
        <f>IFERROR(IF(VLOOKUP(F$10,'Quadro Geral'!$C$10:$E$26,3,FALSE)='Matriz Objetivos x Projetos'!$B13,"P",IF(OR(VLOOKUP('Matriz Objetivos x Projetos'!F$10,'Quadro Geral'!$C$10:$E$26,4,FALSE)='Matriz Objetivos x Projetos'!$B13,VLOOKUP('Matriz Objetivos x Projetos'!F$10,'Quadro Geral'!$C$10:$E$21,5,FALSE)='Matriz Objetivos x Projetos'!$B13),"S","")),"")</f>
        <v/>
      </c>
      <c r="G13" s="18" t="str">
        <f>IFERROR(IF(VLOOKUP(G$10,'Quadro Geral'!$C$10:$E$26,3,FALSE)='Matriz Objetivos x Projetos'!$B13,"P",IF(OR(VLOOKUP('Matriz Objetivos x Projetos'!G$10,'Quadro Geral'!$C$10:$E$26,4,FALSE)='Matriz Objetivos x Projetos'!$B13,VLOOKUP('Matriz Objetivos x Projetos'!G$10,'Quadro Geral'!$C$10:$E$21,5,FALSE)='Matriz Objetivos x Projetos'!$B13),"S","")),"")</f>
        <v/>
      </c>
      <c r="H13" s="18" t="str">
        <f>IFERROR(IF(VLOOKUP(H$10,'Quadro Geral'!$C$10:$E$26,3,FALSE)='Matriz Objetivos x Projetos'!$B13,"P",IF(OR(VLOOKUP('Matriz Objetivos x Projetos'!H$10,'Quadro Geral'!$C$10:$E$26,4,FALSE)='Matriz Objetivos x Projetos'!$B13,VLOOKUP('Matriz Objetivos x Projetos'!H$10,'Quadro Geral'!$C$10:$E$21,5,FALSE)='Matriz Objetivos x Projetos'!$B13),"S","")),"")</f>
        <v/>
      </c>
      <c r="I13" s="18" t="str">
        <f>IFERROR(IF(VLOOKUP(I$10,'Quadro Geral'!$C$10:$E$26,3,FALSE)='Matriz Objetivos x Projetos'!$B13,"P",IF(OR(VLOOKUP('Matriz Objetivos x Projetos'!I$10,'Quadro Geral'!$C$10:$E$26,4,FALSE)='Matriz Objetivos x Projetos'!$B13,VLOOKUP('Matriz Objetivos x Projetos'!I$10,'Quadro Geral'!$C$10:$E$21,5,FALSE)='Matriz Objetivos x Projetos'!$B13),"S","")),"")</f>
        <v/>
      </c>
      <c r="J13" s="18" t="str">
        <f>IFERROR(IF(VLOOKUP(J$10,'Quadro Geral'!$C$10:$E$26,3,FALSE)='Matriz Objetivos x Projetos'!$B13,"P",IF(OR(VLOOKUP('Matriz Objetivos x Projetos'!J$10,'Quadro Geral'!$C$10:$E$26,4,FALSE)='Matriz Objetivos x Projetos'!$B13,VLOOKUP('Matriz Objetivos x Projetos'!J$10,'Quadro Geral'!$C$10:$E$21,5,FALSE)='Matriz Objetivos x Projetos'!$B13),"S","")),"")</f>
        <v/>
      </c>
      <c r="K13" s="18" t="str">
        <f>IFERROR(IF(VLOOKUP(K$10,'Quadro Geral'!$C$10:$E$26,3,FALSE)='Matriz Objetivos x Projetos'!$B13,"P",IF(OR(VLOOKUP('Matriz Objetivos x Projetos'!K$10,'Quadro Geral'!$C$10:$E$26,4,FALSE)='Matriz Objetivos x Projetos'!$B13,VLOOKUP('Matriz Objetivos x Projetos'!K$10,'Quadro Geral'!$C$10:$E$21,5,FALSE)='Matriz Objetivos x Projetos'!$B13),"S","")),"")</f>
        <v/>
      </c>
      <c r="L13" s="18" t="str">
        <f>IFERROR(IF(VLOOKUP(L$10,'Quadro Geral'!$C$10:$E$26,3,FALSE)='Matriz Objetivos x Projetos'!$B13,"P",IF(OR(VLOOKUP('Matriz Objetivos x Projetos'!L$10,'Quadro Geral'!$C$10:$E$26,4,FALSE)='Matriz Objetivos x Projetos'!$B13,VLOOKUP('Matriz Objetivos x Projetos'!L$10,'Quadro Geral'!$C$10:$E$21,5,FALSE)='Matriz Objetivos x Projetos'!$B13),"S","")),"")</f>
        <v/>
      </c>
      <c r="M13" s="18" t="str">
        <f>IFERROR(IF(VLOOKUP(M$10,'Quadro Geral'!$C$10:$E$26,3,FALSE)='Matriz Objetivos x Projetos'!$B13,"P",IF(OR(VLOOKUP('Matriz Objetivos x Projetos'!M$10,'Quadro Geral'!$C$10:$E$26,4,FALSE)='Matriz Objetivos x Projetos'!$B13,VLOOKUP('Matriz Objetivos x Projetos'!M$10,'Quadro Geral'!$C$10:$E$21,5,FALSE)='Matriz Objetivos x Projetos'!$B13),"S","")),"")</f>
        <v/>
      </c>
      <c r="N13" s="18" t="str">
        <f>IFERROR(IF(VLOOKUP(N$10,'Quadro Geral'!$C$10:$E$26,3,FALSE)='Matriz Objetivos x Projetos'!$B13,"P",IF(OR(VLOOKUP('Matriz Objetivos x Projetos'!N$10,'Quadro Geral'!$C$10:$E$26,4,FALSE)='Matriz Objetivos x Projetos'!$B13,VLOOKUP('Matriz Objetivos x Projetos'!N$10,'Quadro Geral'!$C$10:$E$21,5,FALSE)='Matriz Objetivos x Projetos'!$B13),"S","")),"")</f>
        <v/>
      </c>
      <c r="O13" s="18" t="str">
        <f>IFERROR(IF(VLOOKUP(O$10,'Quadro Geral'!$C$10:$E$26,3,FALSE)='Matriz Objetivos x Projetos'!$B13,"P",IF(OR(VLOOKUP('Matriz Objetivos x Projetos'!O$10,'Quadro Geral'!$C$10:$E$26,4,FALSE)='Matriz Objetivos x Projetos'!$B13,VLOOKUP('Matriz Objetivos x Projetos'!O$10,'Quadro Geral'!$C$10:$E$21,5,FALSE)='Matriz Objetivos x Projetos'!$B13),"S","")),"")</f>
        <v/>
      </c>
      <c r="P13" s="18" t="str">
        <f>IFERROR(IF(VLOOKUP(P$10,'Quadro Geral'!$C$10:$E$26,3,FALSE)='Matriz Objetivos x Projetos'!$B13,"P",IF(OR(VLOOKUP('Matriz Objetivos x Projetos'!P$10,'Quadro Geral'!$C$10:$E$26,4,FALSE)='Matriz Objetivos x Projetos'!$B13,VLOOKUP('Matriz Objetivos x Projetos'!P$10,'Quadro Geral'!$C$10:$E$21,5,FALSE)='Matriz Objetivos x Projetos'!$B13),"S","")),"")</f>
        <v/>
      </c>
      <c r="Q13" s="18" t="str">
        <f>IFERROR(IF(VLOOKUP(Q$10,'Quadro Geral'!$C$10:$E$26,3,FALSE)='Matriz Objetivos x Projetos'!$B13,"P",IF(OR(VLOOKUP('Matriz Objetivos x Projetos'!Q$10,'Quadro Geral'!$C$10:$E$26,4,FALSE)='Matriz Objetivos x Projetos'!$B13,VLOOKUP('Matriz Objetivos x Projetos'!Q$10,'Quadro Geral'!$C$10:$E$21,5,FALSE)='Matriz Objetivos x Projetos'!$B13),"S","")),"")</f>
        <v/>
      </c>
      <c r="R13" s="18" t="str">
        <f>IFERROR(IF(VLOOKUP(R$10,'Quadro Geral'!$C$10:$E$26,3,FALSE)='Matriz Objetivos x Projetos'!$B13,"P",IF(OR(VLOOKUP('Matriz Objetivos x Projetos'!R$10,'Quadro Geral'!$C$10:$E$26,4,FALSE)='Matriz Objetivos x Projetos'!$B13,VLOOKUP('Matriz Objetivos x Projetos'!R$10,'Quadro Geral'!$C$10:$E$21,5,FALSE)='Matriz Objetivos x Projetos'!$B13),"S","")),"")</f>
        <v/>
      </c>
      <c r="S13" s="18" t="str">
        <f>IFERROR(IF(VLOOKUP(S$10,'Quadro Geral'!$C$10:$E$26,3,FALSE)='Matriz Objetivos x Projetos'!$B13,"P",IF(OR(VLOOKUP('Matriz Objetivos x Projetos'!S$10,'Quadro Geral'!$C$10:$E$26,4,FALSE)='Matriz Objetivos x Projetos'!$B13,VLOOKUP('Matriz Objetivos x Projetos'!S$10,'Quadro Geral'!$C$10:$E$21,5,FALSE)='Matriz Objetivos x Projetos'!$B13),"S","")),"")</f>
        <v/>
      </c>
      <c r="T13" s="18" t="str">
        <f>IFERROR(IF(VLOOKUP(T$10,'Quadro Geral'!$C$10:$E$26,3,FALSE)='Matriz Objetivos x Projetos'!$B13,"P",IF(OR(VLOOKUP('Matriz Objetivos x Projetos'!T$10,'Quadro Geral'!$C$10:$E$26,4,FALSE)='Matriz Objetivos x Projetos'!$B13,VLOOKUP('Matriz Objetivos x Projetos'!T$10,'Quadro Geral'!$C$10:$E$21,5,FALSE)='Matriz Objetivos x Projetos'!$B13),"S","")),"")</f>
        <v/>
      </c>
      <c r="U13" s="18" t="str">
        <f>IFERROR(IF(VLOOKUP(U$10,'Quadro Geral'!$C$10:$E$26,3,FALSE)='Matriz Objetivos x Projetos'!$B13,"P",IF(OR(VLOOKUP('Matriz Objetivos x Projetos'!U$10,'Quadro Geral'!$C$10:$E$26,4,FALSE)='Matriz Objetivos x Projetos'!$B13,VLOOKUP('Matriz Objetivos x Projetos'!U$10,'Quadro Geral'!$C$10:$E$21,5,FALSE)='Matriz Objetivos x Projetos'!$B13),"S","")),"")</f>
        <v/>
      </c>
      <c r="V13" s="18" t="str">
        <f>IFERROR(IF(VLOOKUP(V$10,'Quadro Geral'!$C$10:$E$26,3,FALSE)='Matriz Objetivos x Projetos'!$B13,"P",IF(OR(VLOOKUP('Matriz Objetivos x Projetos'!V$10,'Quadro Geral'!$C$10:$E$26,4,FALSE)='Matriz Objetivos x Projetos'!$B13,VLOOKUP('Matriz Objetivos x Projetos'!V$10,'Quadro Geral'!$C$10:$E$21,5,FALSE)='Matriz Objetivos x Projetos'!$B13),"S","")),"")</f>
        <v/>
      </c>
      <c r="W13" s="18" t="str">
        <f>IFERROR(IF(VLOOKUP(W$10,'Quadro Geral'!$C$10:$E$26,3,FALSE)='Matriz Objetivos x Projetos'!$B13,"P",IF(OR(VLOOKUP('Matriz Objetivos x Projetos'!W$10,'Quadro Geral'!$C$10:$E$26,4,FALSE)='Matriz Objetivos x Projetos'!$B13,VLOOKUP('Matriz Objetivos x Projetos'!W$10,'Quadro Geral'!$C$10:$E$21,5,FALSE)='Matriz Objetivos x Projetos'!$B13),"S","")),"")</f>
        <v/>
      </c>
      <c r="X13" s="16">
        <f t="shared" si="0"/>
        <v>0</v>
      </c>
      <c r="Y13" s="15" t="str">
        <f t="shared" si="1"/>
        <v>Processos Internos</v>
      </c>
    </row>
    <row r="14" spans="1:25" ht="63" customHeight="1">
      <c r="A14" s="250"/>
      <c r="B14" s="81" t="s">
        <v>16</v>
      </c>
      <c r="C14" s="18" t="str">
        <f>IFERROR(IF(VLOOKUP(C$10,'Quadro Geral'!$C$10:$E$26,3,FALSE)='Matriz Objetivos x Projetos'!$B14,"P",IF(OR(VLOOKUP('Matriz Objetivos x Projetos'!C$10,'Quadro Geral'!$C$10:$E$26,4,FALSE)='Matriz Objetivos x Projetos'!$B14,VLOOKUP('Matriz Objetivos x Projetos'!C$10,'Quadro Geral'!$C$10:$E$21,5,FALSE)='Matriz Objetivos x Projetos'!$B14),"S","")),"")</f>
        <v/>
      </c>
      <c r="D14" s="18" t="str">
        <f>IFERROR(IF(VLOOKUP(D$10,'Quadro Geral'!$C$10:$E$26,3,FALSE)='Matriz Objetivos x Projetos'!$B14,"P",IF(OR(VLOOKUP('Matriz Objetivos x Projetos'!D$10,'Quadro Geral'!$C$10:$E$26,4,FALSE)='Matriz Objetivos x Projetos'!$B14,VLOOKUP('Matriz Objetivos x Projetos'!D$10,'Quadro Geral'!$C$10:$E$21,5,FALSE)='Matriz Objetivos x Projetos'!$B14),"S","")),"")</f>
        <v/>
      </c>
      <c r="E14" s="18" t="str">
        <f>IFERROR(IF(VLOOKUP(E$10,'Quadro Geral'!$C$10:$E$26,3,FALSE)='Matriz Objetivos x Projetos'!$B14,"P",IF(OR(VLOOKUP('Matriz Objetivos x Projetos'!E$10,'Quadro Geral'!$C$10:$E$26,4,FALSE)='Matriz Objetivos x Projetos'!$B14,VLOOKUP('Matriz Objetivos x Projetos'!E$10,'Quadro Geral'!$C$10:$E$21,5,FALSE)='Matriz Objetivos x Projetos'!$B14),"S","")),"")</f>
        <v/>
      </c>
      <c r="F14" s="18" t="str">
        <f>IFERROR(IF(VLOOKUP(F$10,'Quadro Geral'!$C$10:$E$26,3,FALSE)='Matriz Objetivos x Projetos'!$B14,"P",IF(OR(VLOOKUP('Matriz Objetivos x Projetos'!F$10,'Quadro Geral'!$C$10:$E$26,4,FALSE)='Matriz Objetivos x Projetos'!$B14,VLOOKUP('Matriz Objetivos x Projetos'!F$10,'Quadro Geral'!$C$10:$E$21,5,FALSE)='Matriz Objetivos x Projetos'!$B14),"S","")),"")</f>
        <v/>
      </c>
      <c r="G14" s="18" t="str">
        <f>IFERROR(IF(VLOOKUP(G$10,'Quadro Geral'!$C$10:$E$26,3,FALSE)='Matriz Objetivos x Projetos'!$B14,"P",IF(OR(VLOOKUP('Matriz Objetivos x Projetos'!G$10,'Quadro Geral'!$C$10:$E$26,4,FALSE)='Matriz Objetivos x Projetos'!$B14,VLOOKUP('Matriz Objetivos x Projetos'!G$10,'Quadro Geral'!$C$10:$E$21,5,FALSE)='Matriz Objetivos x Projetos'!$B14),"S","")),"")</f>
        <v/>
      </c>
      <c r="H14" s="18" t="str">
        <f>IFERROR(IF(VLOOKUP(H$10,'Quadro Geral'!$C$10:$E$26,3,FALSE)='Matriz Objetivos x Projetos'!$B14,"P",IF(OR(VLOOKUP('Matriz Objetivos x Projetos'!H$10,'Quadro Geral'!$C$10:$E$26,4,FALSE)='Matriz Objetivos x Projetos'!$B14,VLOOKUP('Matriz Objetivos x Projetos'!H$10,'Quadro Geral'!$C$10:$E$21,5,FALSE)='Matriz Objetivos x Projetos'!$B14),"S","")),"")</f>
        <v/>
      </c>
      <c r="I14" s="18" t="str">
        <f>IFERROR(IF(VLOOKUP(I$10,'Quadro Geral'!$C$10:$E$26,3,FALSE)='Matriz Objetivos x Projetos'!$B14,"P",IF(OR(VLOOKUP('Matriz Objetivos x Projetos'!I$10,'Quadro Geral'!$C$10:$E$26,4,FALSE)='Matriz Objetivos x Projetos'!$B14,VLOOKUP('Matriz Objetivos x Projetos'!I$10,'Quadro Geral'!$C$10:$E$21,5,FALSE)='Matriz Objetivos x Projetos'!$B14),"S","")),"")</f>
        <v/>
      </c>
      <c r="J14" s="18" t="str">
        <f>IFERROR(IF(VLOOKUP(J$10,'Quadro Geral'!$C$10:$E$26,3,FALSE)='Matriz Objetivos x Projetos'!$B14,"P",IF(OR(VLOOKUP('Matriz Objetivos x Projetos'!J$10,'Quadro Geral'!$C$10:$E$26,4,FALSE)='Matriz Objetivos x Projetos'!$B14,VLOOKUP('Matriz Objetivos x Projetos'!J$10,'Quadro Geral'!$C$10:$E$21,5,FALSE)='Matriz Objetivos x Projetos'!$B14),"S","")),"")</f>
        <v/>
      </c>
      <c r="K14" s="18" t="str">
        <f>IFERROR(IF(VLOOKUP(K$10,'Quadro Geral'!$C$10:$E$26,3,FALSE)='Matriz Objetivos x Projetos'!$B14,"P",IF(OR(VLOOKUP('Matriz Objetivos x Projetos'!K$10,'Quadro Geral'!$C$10:$E$26,4,FALSE)='Matriz Objetivos x Projetos'!$B14,VLOOKUP('Matriz Objetivos x Projetos'!K$10,'Quadro Geral'!$C$10:$E$21,5,FALSE)='Matriz Objetivos x Projetos'!$B14),"S","")),"")</f>
        <v/>
      </c>
      <c r="L14" s="18" t="str">
        <f>IFERROR(IF(VLOOKUP(L$10,'Quadro Geral'!$C$10:$E$26,3,FALSE)='Matriz Objetivos x Projetos'!$B14,"P",IF(OR(VLOOKUP('Matriz Objetivos x Projetos'!L$10,'Quadro Geral'!$C$10:$E$26,4,FALSE)='Matriz Objetivos x Projetos'!$B14,VLOOKUP('Matriz Objetivos x Projetos'!L$10,'Quadro Geral'!$C$10:$E$21,5,FALSE)='Matriz Objetivos x Projetos'!$B14),"S","")),"")</f>
        <v/>
      </c>
      <c r="M14" s="18" t="str">
        <f>IFERROR(IF(VLOOKUP(M$10,'Quadro Geral'!$C$10:$E$26,3,FALSE)='Matriz Objetivos x Projetos'!$B14,"P",IF(OR(VLOOKUP('Matriz Objetivos x Projetos'!M$10,'Quadro Geral'!$C$10:$E$26,4,FALSE)='Matriz Objetivos x Projetos'!$B14,VLOOKUP('Matriz Objetivos x Projetos'!M$10,'Quadro Geral'!$C$10:$E$21,5,FALSE)='Matriz Objetivos x Projetos'!$B14),"S","")),"")</f>
        <v/>
      </c>
      <c r="N14" s="18" t="str">
        <f>IFERROR(IF(VLOOKUP(N$10,'Quadro Geral'!$C$10:$E$26,3,FALSE)='Matriz Objetivos x Projetos'!$B14,"P",IF(OR(VLOOKUP('Matriz Objetivos x Projetos'!N$10,'Quadro Geral'!$C$10:$E$26,4,FALSE)='Matriz Objetivos x Projetos'!$B14,VLOOKUP('Matriz Objetivos x Projetos'!N$10,'Quadro Geral'!$C$10:$E$21,5,FALSE)='Matriz Objetivos x Projetos'!$B14),"S","")),"")</f>
        <v/>
      </c>
      <c r="O14" s="18" t="str">
        <f>IFERROR(IF(VLOOKUP(O$10,'Quadro Geral'!$C$10:$E$26,3,FALSE)='Matriz Objetivos x Projetos'!$B14,"P",IF(OR(VLOOKUP('Matriz Objetivos x Projetos'!O$10,'Quadro Geral'!$C$10:$E$26,4,FALSE)='Matriz Objetivos x Projetos'!$B14,VLOOKUP('Matriz Objetivos x Projetos'!O$10,'Quadro Geral'!$C$10:$E$21,5,FALSE)='Matriz Objetivos x Projetos'!$B14),"S","")),"")</f>
        <v/>
      </c>
      <c r="P14" s="18" t="str">
        <f>IFERROR(IF(VLOOKUP(P$10,'Quadro Geral'!$C$10:$E$26,3,FALSE)='Matriz Objetivos x Projetos'!$B14,"P",IF(OR(VLOOKUP('Matriz Objetivos x Projetos'!P$10,'Quadro Geral'!$C$10:$E$26,4,FALSE)='Matriz Objetivos x Projetos'!$B14,VLOOKUP('Matriz Objetivos x Projetos'!P$10,'Quadro Geral'!$C$10:$E$21,5,FALSE)='Matriz Objetivos x Projetos'!$B14),"S","")),"")</f>
        <v/>
      </c>
      <c r="Q14" s="18" t="str">
        <f>IFERROR(IF(VLOOKUP(Q$10,'Quadro Geral'!$C$10:$E$26,3,FALSE)='Matriz Objetivos x Projetos'!$B14,"P",IF(OR(VLOOKUP('Matriz Objetivos x Projetos'!Q$10,'Quadro Geral'!$C$10:$E$26,4,FALSE)='Matriz Objetivos x Projetos'!$B14,VLOOKUP('Matriz Objetivos x Projetos'!Q$10,'Quadro Geral'!$C$10:$E$21,5,FALSE)='Matriz Objetivos x Projetos'!$B14),"S","")),"")</f>
        <v/>
      </c>
      <c r="R14" s="18" t="str">
        <f>IFERROR(IF(VLOOKUP(R$10,'Quadro Geral'!$C$10:$E$26,3,FALSE)='Matriz Objetivos x Projetos'!$B14,"P",IF(OR(VLOOKUP('Matriz Objetivos x Projetos'!R$10,'Quadro Geral'!$C$10:$E$26,4,FALSE)='Matriz Objetivos x Projetos'!$B14,VLOOKUP('Matriz Objetivos x Projetos'!R$10,'Quadro Geral'!$C$10:$E$21,5,FALSE)='Matriz Objetivos x Projetos'!$B14),"S","")),"")</f>
        <v/>
      </c>
      <c r="S14" s="18" t="str">
        <f>IFERROR(IF(VLOOKUP(S$10,'Quadro Geral'!$C$10:$E$26,3,FALSE)='Matriz Objetivos x Projetos'!$B14,"P",IF(OR(VLOOKUP('Matriz Objetivos x Projetos'!S$10,'Quadro Geral'!$C$10:$E$26,4,FALSE)='Matriz Objetivos x Projetos'!$B14,VLOOKUP('Matriz Objetivos x Projetos'!S$10,'Quadro Geral'!$C$10:$E$21,5,FALSE)='Matriz Objetivos x Projetos'!$B14),"S","")),"")</f>
        <v/>
      </c>
      <c r="T14" s="18" t="str">
        <f>IFERROR(IF(VLOOKUP(T$10,'Quadro Geral'!$C$10:$E$26,3,FALSE)='Matriz Objetivos x Projetos'!$B14,"P",IF(OR(VLOOKUP('Matriz Objetivos x Projetos'!T$10,'Quadro Geral'!$C$10:$E$26,4,FALSE)='Matriz Objetivos x Projetos'!$B14,VLOOKUP('Matriz Objetivos x Projetos'!T$10,'Quadro Geral'!$C$10:$E$21,5,FALSE)='Matriz Objetivos x Projetos'!$B14),"S","")),"")</f>
        <v/>
      </c>
      <c r="U14" s="18" t="str">
        <f>IFERROR(IF(VLOOKUP(U$10,'Quadro Geral'!$C$10:$E$26,3,FALSE)='Matriz Objetivos x Projetos'!$B14,"P",IF(OR(VLOOKUP('Matriz Objetivos x Projetos'!U$10,'Quadro Geral'!$C$10:$E$26,4,FALSE)='Matriz Objetivos x Projetos'!$B14,VLOOKUP('Matriz Objetivos x Projetos'!U$10,'Quadro Geral'!$C$10:$E$21,5,FALSE)='Matriz Objetivos x Projetos'!$B14),"S","")),"")</f>
        <v/>
      </c>
      <c r="V14" s="18" t="str">
        <f>IFERROR(IF(VLOOKUP(V$10,'Quadro Geral'!$C$10:$E$26,3,FALSE)='Matriz Objetivos x Projetos'!$B14,"P",IF(OR(VLOOKUP('Matriz Objetivos x Projetos'!V$10,'Quadro Geral'!$C$10:$E$26,4,FALSE)='Matriz Objetivos x Projetos'!$B14,VLOOKUP('Matriz Objetivos x Projetos'!V$10,'Quadro Geral'!$C$10:$E$21,5,FALSE)='Matriz Objetivos x Projetos'!$B14),"S","")),"")</f>
        <v/>
      </c>
      <c r="W14" s="18" t="str">
        <f>IFERROR(IF(VLOOKUP(W$10,'Quadro Geral'!$C$10:$E$26,3,FALSE)='Matriz Objetivos x Projetos'!$B14,"P",IF(OR(VLOOKUP('Matriz Objetivos x Projetos'!W$10,'Quadro Geral'!$C$10:$E$26,4,FALSE)='Matriz Objetivos x Projetos'!$B14,VLOOKUP('Matriz Objetivos x Projetos'!W$10,'Quadro Geral'!$C$10:$E$21,5,FALSE)='Matriz Objetivos x Projetos'!$B14),"S","")),"")</f>
        <v/>
      </c>
      <c r="X14" s="16">
        <f t="shared" si="0"/>
        <v>0</v>
      </c>
      <c r="Y14" s="15" t="str">
        <f t="shared" si="1"/>
        <v>Processos Internos</v>
      </c>
    </row>
    <row r="15" spans="1:25" ht="63" customHeight="1">
      <c r="A15" s="250"/>
      <c r="B15" s="81" t="s">
        <v>17</v>
      </c>
      <c r="C15" s="18" t="str">
        <f>IFERROR(IF(VLOOKUP(C$10,'Quadro Geral'!$C$10:$E$26,3,FALSE)='Matriz Objetivos x Projetos'!$B15,"P",IF(OR(VLOOKUP('Matriz Objetivos x Projetos'!C$10,'Quadro Geral'!$C$10:$E$26,4,FALSE)='Matriz Objetivos x Projetos'!$B15,VLOOKUP('Matriz Objetivos x Projetos'!C$10,'Quadro Geral'!$C$10:$E$21,5,FALSE)='Matriz Objetivos x Projetos'!$B15),"S","")),"")</f>
        <v/>
      </c>
      <c r="D15" s="18" t="str">
        <f>IFERROR(IF(VLOOKUP(D$10,'Quadro Geral'!$C$10:$E$26,3,FALSE)='Matriz Objetivos x Projetos'!$B15,"P",IF(OR(VLOOKUP('Matriz Objetivos x Projetos'!D$10,'Quadro Geral'!$C$10:$E$26,4,FALSE)='Matriz Objetivos x Projetos'!$B15,VLOOKUP('Matriz Objetivos x Projetos'!D$10,'Quadro Geral'!$C$10:$E$21,5,FALSE)='Matriz Objetivos x Projetos'!$B15),"S","")),"")</f>
        <v/>
      </c>
      <c r="E15" s="18" t="str">
        <f>IFERROR(IF(VLOOKUP(E$10,'Quadro Geral'!$C$10:$E$26,3,FALSE)='Matriz Objetivos x Projetos'!$B15,"P",IF(OR(VLOOKUP('Matriz Objetivos x Projetos'!E$10,'Quadro Geral'!$C$10:$E$26,4,FALSE)='Matriz Objetivos x Projetos'!$B15,VLOOKUP('Matriz Objetivos x Projetos'!E$10,'Quadro Geral'!$C$10:$E$21,5,FALSE)='Matriz Objetivos x Projetos'!$B15),"S","")),"")</f>
        <v/>
      </c>
      <c r="F15" s="18" t="str">
        <f>IFERROR(IF(VLOOKUP(F$10,'Quadro Geral'!$C$10:$E$26,3,FALSE)='Matriz Objetivos x Projetos'!$B15,"P",IF(OR(VLOOKUP('Matriz Objetivos x Projetos'!F$10,'Quadro Geral'!$C$10:$E$26,4,FALSE)='Matriz Objetivos x Projetos'!$B15,VLOOKUP('Matriz Objetivos x Projetos'!F$10,'Quadro Geral'!$C$10:$E$21,5,FALSE)='Matriz Objetivos x Projetos'!$B15),"S","")),"")</f>
        <v/>
      </c>
      <c r="G15" s="18" t="str">
        <f>IFERROR(IF(VLOOKUP(G$10,'Quadro Geral'!$C$10:$E$26,3,FALSE)='Matriz Objetivos x Projetos'!$B15,"P",IF(OR(VLOOKUP('Matriz Objetivos x Projetos'!G$10,'Quadro Geral'!$C$10:$E$26,4,FALSE)='Matriz Objetivos x Projetos'!$B15,VLOOKUP('Matriz Objetivos x Projetos'!G$10,'Quadro Geral'!$C$10:$E$21,5,FALSE)='Matriz Objetivos x Projetos'!$B15),"S","")),"")</f>
        <v/>
      </c>
      <c r="H15" s="18" t="str">
        <f>IFERROR(IF(VLOOKUP(H$10,'Quadro Geral'!$C$10:$E$26,3,FALSE)='Matriz Objetivos x Projetos'!$B15,"P",IF(OR(VLOOKUP('Matriz Objetivos x Projetos'!H$10,'Quadro Geral'!$C$10:$E$26,4,FALSE)='Matriz Objetivos x Projetos'!$B15,VLOOKUP('Matriz Objetivos x Projetos'!H$10,'Quadro Geral'!$C$10:$E$21,5,FALSE)='Matriz Objetivos x Projetos'!$B15),"S","")),"")</f>
        <v/>
      </c>
      <c r="I15" s="18" t="str">
        <f>IFERROR(IF(VLOOKUP(I$10,'Quadro Geral'!$C$10:$E$26,3,FALSE)='Matriz Objetivos x Projetos'!$B15,"P",IF(OR(VLOOKUP('Matriz Objetivos x Projetos'!I$10,'Quadro Geral'!$C$10:$E$26,4,FALSE)='Matriz Objetivos x Projetos'!$B15,VLOOKUP('Matriz Objetivos x Projetos'!I$10,'Quadro Geral'!$C$10:$E$21,5,FALSE)='Matriz Objetivos x Projetos'!$B15),"S","")),"")</f>
        <v/>
      </c>
      <c r="J15" s="18" t="str">
        <f>IFERROR(IF(VLOOKUP(J$10,'Quadro Geral'!$C$10:$E$26,3,FALSE)='Matriz Objetivos x Projetos'!$B15,"P",IF(OR(VLOOKUP('Matriz Objetivos x Projetos'!J$10,'Quadro Geral'!$C$10:$E$26,4,FALSE)='Matriz Objetivos x Projetos'!$B15,VLOOKUP('Matriz Objetivos x Projetos'!J$10,'Quadro Geral'!$C$10:$E$21,5,FALSE)='Matriz Objetivos x Projetos'!$B15),"S","")),"")</f>
        <v/>
      </c>
      <c r="K15" s="18" t="str">
        <f>IFERROR(IF(VLOOKUP(K$10,'Quadro Geral'!$C$10:$E$26,3,FALSE)='Matriz Objetivos x Projetos'!$B15,"P",IF(OR(VLOOKUP('Matriz Objetivos x Projetos'!K$10,'Quadro Geral'!$C$10:$E$26,4,FALSE)='Matriz Objetivos x Projetos'!$B15,VLOOKUP('Matriz Objetivos x Projetos'!K$10,'Quadro Geral'!$C$10:$E$21,5,FALSE)='Matriz Objetivos x Projetos'!$B15),"S","")),"")</f>
        <v/>
      </c>
      <c r="L15" s="18" t="str">
        <f>IFERROR(IF(VLOOKUP(L$10,'Quadro Geral'!$C$10:$E$26,3,FALSE)='Matriz Objetivos x Projetos'!$B15,"P",IF(OR(VLOOKUP('Matriz Objetivos x Projetos'!L$10,'Quadro Geral'!$C$10:$E$26,4,FALSE)='Matriz Objetivos x Projetos'!$B15,VLOOKUP('Matriz Objetivos x Projetos'!L$10,'Quadro Geral'!$C$10:$E$21,5,FALSE)='Matriz Objetivos x Projetos'!$B15),"S","")),"")</f>
        <v/>
      </c>
      <c r="M15" s="18" t="str">
        <f>IFERROR(IF(VLOOKUP(M$10,'Quadro Geral'!$C$10:$E$26,3,FALSE)='Matriz Objetivos x Projetos'!$B15,"P",IF(OR(VLOOKUP('Matriz Objetivos x Projetos'!M$10,'Quadro Geral'!$C$10:$E$26,4,FALSE)='Matriz Objetivos x Projetos'!$B15,VLOOKUP('Matriz Objetivos x Projetos'!M$10,'Quadro Geral'!$C$10:$E$21,5,FALSE)='Matriz Objetivos x Projetos'!$B15),"S","")),"")</f>
        <v/>
      </c>
      <c r="N15" s="18" t="str">
        <f>IFERROR(IF(VLOOKUP(N$10,'Quadro Geral'!$C$10:$E$26,3,FALSE)='Matriz Objetivos x Projetos'!$B15,"P",IF(OR(VLOOKUP('Matriz Objetivos x Projetos'!N$10,'Quadro Geral'!$C$10:$E$26,4,FALSE)='Matriz Objetivos x Projetos'!$B15,VLOOKUP('Matriz Objetivos x Projetos'!N$10,'Quadro Geral'!$C$10:$E$21,5,FALSE)='Matriz Objetivos x Projetos'!$B15),"S","")),"")</f>
        <v/>
      </c>
      <c r="O15" s="18" t="str">
        <f>IFERROR(IF(VLOOKUP(O$10,'Quadro Geral'!$C$10:$E$26,3,FALSE)='Matriz Objetivos x Projetos'!$B15,"P",IF(OR(VLOOKUP('Matriz Objetivos x Projetos'!O$10,'Quadro Geral'!$C$10:$E$26,4,FALSE)='Matriz Objetivos x Projetos'!$B15,VLOOKUP('Matriz Objetivos x Projetos'!O$10,'Quadro Geral'!$C$10:$E$21,5,FALSE)='Matriz Objetivos x Projetos'!$B15),"S","")),"")</f>
        <v/>
      </c>
      <c r="P15" s="18" t="str">
        <f>IFERROR(IF(VLOOKUP(P$10,'Quadro Geral'!$C$10:$E$26,3,FALSE)='Matriz Objetivos x Projetos'!$B15,"P",IF(OR(VLOOKUP('Matriz Objetivos x Projetos'!P$10,'Quadro Geral'!$C$10:$E$26,4,FALSE)='Matriz Objetivos x Projetos'!$B15,VLOOKUP('Matriz Objetivos x Projetos'!P$10,'Quadro Geral'!$C$10:$E$21,5,FALSE)='Matriz Objetivos x Projetos'!$B15),"S","")),"")</f>
        <v/>
      </c>
      <c r="Q15" s="18" t="str">
        <f>IFERROR(IF(VLOOKUP(Q$10,'Quadro Geral'!$C$10:$E$26,3,FALSE)='Matriz Objetivos x Projetos'!$B15,"P",IF(OR(VLOOKUP('Matriz Objetivos x Projetos'!Q$10,'Quadro Geral'!$C$10:$E$26,4,FALSE)='Matriz Objetivos x Projetos'!$B15,VLOOKUP('Matriz Objetivos x Projetos'!Q$10,'Quadro Geral'!$C$10:$E$21,5,FALSE)='Matriz Objetivos x Projetos'!$B15),"S","")),"")</f>
        <v/>
      </c>
      <c r="R15" s="18" t="str">
        <f>IFERROR(IF(VLOOKUP(R$10,'Quadro Geral'!$C$10:$E$26,3,FALSE)='Matriz Objetivos x Projetos'!$B15,"P",IF(OR(VLOOKUP('Matriz Objetivos x Projetos'!R$10,'Quadro Geral'!$C$10:$E$26,4,FALSE)='Matriz Objetivos x Projetos'!$B15,VLOOKUP('Matriz Objetivos x Projetos'!R$10,'Quadro Geral'!$C$10:$E$21,5,FALSE)='Matriz Objetivos x Projetos'!$B15),"S","")),"")</f>
        <v/>
      </c>
      <c r="S15" s="18" t="str">
        <f>IFERROR(IF(VLOOKUP(S$10,'Quadro Geral'!$C$10:$E$26,3,FALSE)='Matriz Objetivos x Projetos'!$B15,"P",IF(OR(VLOOKUP('Matriz Objetivos x Projetos'!S$10,'Quadro Geral'!$C$10:$E$26,4,FALSE)='Matriz Objetivos x Projetos'!$B15,VLOOKUP('Matriz Objetivos x Projetos'!S$10,'Quadro Geral'!$C$10:$E$21,5,FALSE)='Matriz Objetivos x Projetos'!$B15),"S","")),"")</f>
        <v/>
      </c>
      <c r="T15" s="18" t="str">
        <f>IFERROR(IF(VLOOKUP(T$10,'Quadro Geral'!$C$10:$E$26,3,FALSE)='Matriz Objetivos x Projetos'!$B15,"P",IF(OR(VLOOKUP('Matriz Objetivos x Projetos'!T$10,'Quadro Geral'!$C$10:$E$26,4,FALSE)='Matriz Objetivos x Projetos'!$B15,VLOOKUP('Matriz Objetivos x Projetos'!T$10,'Quadro Geral'!$C$10:$E$21,5,FALSE)='Matriz Objetivos x Projetos'!$B15),"S","")),"")</f>
        <v/>
      </c>
      <c r="U15" s="18" t="str">
        <f>IFERROR(IF(VLOOKUP(U$10,'Quadro Geral'!$C$10:$E$26,3,FALSE)='Matriz Objetivos x Projetos'!$B15,"P",IF(OR(VLOOKUP('Matriz Objetivos x Projetos'!U$10,'Quadro Geral'!$C$10:$E$26,4,FALSE)='Matriz Objetivos x Projetos'!$B15,VLOOKUP('Matriz Objetivos x Projetos'!U$10,'Quadro Geral'!$C$10:$E$21,5,FALSE)='Matriz Objetivos x Projetos'!$B15),"S","")),"")</f>
        <v/>
      </c>
      <c r="V15" s="18" t="str">
        <f>IFERROR(IF(VLOOKUP(V$10,'Quadro Geral'!$C$10:$E$26,3,FALSE)='Matriz Objetivos x Projetos'!$B15,"P",IF(OR(VLOOKUP('Matriz Objetivos x Projetos'!V$10,'Quadro Geral'!$C$10:$E$26,4,FALSE)='Matriz Objetivos x Projetos'!$B15,VLOOKUP('Matriz Objetivos x Projetos'!V$10,'Quadro Geral'!$C$10:$E$21,5,FALSE)='Matriz Objetivos x Projetos'!$B15),"S","")),"")</f>
        <v/>
      </c>
      <c r="W15" s="18" t="str">
        <f>IFERROR(IF(VLOOKUP(W$10,'Quadro Geral'!$C$10:$E$26,3,FALSE)='Matriz Objetivos x Projetos'!$B15,"P",IF(OR(VLOOKUP('Matriz Objetivos x Projetos'!W$10,'Quadro Geral'!$C$10:$E$26,4,FALSE)='Matriz Objetivos x Projetos'!$B15,VLOOKUP('Matriz Objetivos x Projetos'!W$10,'Quadro Geral'!$C$10:$E$21,5,FALSE)='Matriz Objetivos x Projetos'!$B15),"S","")),"")</f>
        <v/>
      </c>
      <c r="X15" s="16">
        <f t="shared" si="0"/>
        <v>0</v>
      </c>
      <c r="Y15" s="15" t="str">
        <f t="shared" si="1"/>
        <v>Processos Internos</v>
      </c>
    </row>
    <row r="16" spans="1:25" ht="63" customHeight="1">
      <c r="A16" s="250"/>
      <c r="B16" s="81" t="s">
        <v>18</v>
      </c>
      <c r="C16" s="18" t="str">
        <f>IFERROR(IF(VLOOKUP(C$10,'Quadro Geral'!$C$10:$E$26,3,FALSE)='Matriz Objetivos x Projetos'!$B16,"P",IF(OR(VLOOKUP('Matriz Objetivos x Projetos'!C$10,'Quadro Geral'!$C$10:$E$26,4,FALSE)='Matriz Objetivos x Projetos'!$B16,VLOOKUP('Matriz Objetivos x Projetos'!C$10,'Quadro Geral'!$C$10:$E$21,5,FALSE)='Matriz Objetivos x Projetos'!$B16),"S","")),"")</f>
        <v/>
      </c>
      <c r="D16" s="18" t="str">
        <f>IFERROR(IF(VLOOKUP(D$10,'Quadro Geral'!$C$10:$E$26,3,FALSE)='Matriz Objetivos x Projetos'!$B16,"P",IF(OR(VLOOKUP('Matriz Objetivos x Projetos'!D$10,'Quadro Geral'!$C$10:$E$26,4,FALSE)='Matriz Objetivos x Projetos'!$B16,VLOOKUP('Matriz Objetivos x Projetos'!D$10,'Quadro Geral'!$C$10:$E$21,5,FALSE)='Matriz Objetivos x Projetos'!$B16),"S","")),"")</f>
        <v/>
      </c>
      <c r="E16" s="18" t="str">
        <f>IFERROR(IF(VLOOKUP(E$10,'Quadro Geral'!$C$10:$E$26,3,FALSE)='Matriz Objetivos x Projetos'!$B16,"P",IF(OR(VLOOKUP('Matriz Objetivos x Projetos'!E$10,'Quadro Geral'!$C$10:$E$26,4,FALSE)='Matriz Objetivos x Projetos'!$B16,VLOOKUP('Matriz Objetivos x Projetos'!E$10,'Quadro Geral'!$C$10:$E$21,5,FALSE)='Matriz Objetivos x Projetos'!$B16),"S","")),"")</f>
        <v/>
      </c>
      <c r="F16" s="18" t="str">
        <f>IFERROR(IF(VLOOKUP(F$10,'Quadro Geral'!$C$10:$E$26,3,FALSE)='Matriz Objetivos x Projetos'!$B16,"P",IF(OR(VLOOKUP('Matriz Objetivos x Projetos'!F$10,'Quadro Geral'!$C$10:$E$26,4,FALSE)='Matriz Objetivos x Projetos'!$B16,VLOOKUP('Matriz Objetivos x Projetos'!F$10,'Quadro Geral'!$C$10:$E$21,5,FALSE)='Matriz Objetivos x Projetos'!$B16),"S","")),"")</f>
        <v/>
      </c>
      <c r="G16" s="18" t="str">
        <f>IFERROR(IF(VLOOKUP(G$10,'Quadro Geral'!$C$10:$E$26,3,FALSE)='Matriz Objetivos x Projetos'!$B16,"P",IF(OR(VLOOKUP('Matriz Objetivos x Projetos'!G$10,'Quadro Geral'!$C$10:$E$26,4,FALSE)='Matriz Objetivos x Projetos'!$B16,VLOOKUP('Matriz Objetivos x Projetos'!G$10,'Quadro Geral'!$C$10:$E$21,5,FALSE)='Matriz Objetivos x Projetos'!$B16),"S","")),"")</f>
        <v/>
      </c>
      <c r="H16" s="18" t="str">
        <f>IFERROR(IF(VLOOKUP(H$10,'Quadro Geral'!$C$10:$E$26,3,FALSE)='Matriz Objetivos x Projetos'!$B16,"P",IF(OR(VLOOKUP('Matriz Objetivos x Projetos'!H$10,'Quadro Geral'!$C$10:$E$26,4,FALSE)='Matriz Objetivos x Projetos'!$B16,VLOOKUP('Matriz Objetivos x Projetos'!H$10,'Quadro Geral'!$C$10:$E$21,5,FALSE)='Matriz Objetivos x Projetos'!$B16),"S","")),"")</f>
        <v/>
      </c>
      <c r="I16" s="18" t="str">
        <f>IFERROR(IF(VLOOKUP(I$10,'Quadro Geral'!$C$10:$E$26,3,FALSE)='Matriz Objetivos x Projetos'!$B16,"P",IF(OR(VLOOKUP('Matriz Objetivos x Projetos'!I$10,'Quadro Geral'!$C$10:$E$26,4,FALSE)='Matriz Objetivos x Projetos'!$B16,VLOOKUP('Matriz Objetivos x Projetos'!I$10,'Quadro Geral'!$C$10:$E$21,5,FALSE)='Matriz Objetivos x Projetos'!$B16),"S","")),"")</f>
        <v/>
      </c>
      <c r="J16" s="18" t="str">
        <f>IFERROR(IF(VLOOKUP(J$10,'Quadro Geral'!$C$10:$E$26,3,FALSE)='Matriz Objetivos x Projetos'!$B16,"P",IF(OR(VLOOKUP('Matriz Objetivos x Projetos'!J$10,'Quadro Geral'!$C$10:$E$26,4,FALSE)='Matriz Objetivos x Projetos'!$B16,VLOOKUP('Matriz Objetivos x Projetos'!J$10,'Quadro Geral'!$C$10:$E$21,5,FALSE)='Matriz Objetivos x Projetos'!$B16),"S","")),"")</f>
        <v/>
      </c>
      <c r="K16" s="18" t="str">
        <f>IFERROR(IF(VLOOKUP(K$10,'Quadro Geral'!$C$10:$E$26,3,FALSE)='Matriz Objetivos x Projetos'!$B16,"P",IF(OR(VLOOKUP('Matriz Objetivos x Projetos'!K$10,'Quadro Geral'!$C$10:$E$26,4,FALSE)='Matriz Objetivos x Projetos'!$B16,VLOOKUP('Matriz Objetivos x Projetos'!K$10,'Quadro Geral'!$C$10:$E$21,5,FALSE)='Matriz Objetivos x Projetos'!$B16),"S","")),"")</f>
        <v/>
      </c>
      <c r="L16" s="18" t="str">
        <f>IFERROR(IF(VLOOKUP(L$10,'Quadro Geral'!$C$10:$E$26,3,FALSE)='Matriz Objetivos x Projetos'!$B16,"P",IF(OR(VLOOKUP('Matriz Objetivos x Projetos'!L$10,'Quadro Geral'!$C$10:$E$26,4,FALSE)='Matriz Objetivos x Projetos'!$B16,VLOOKUP('Matriz Objetivos x Projetos'!L$10,'Quadro Geral'!$C$10:$E$21,5,FALSE)='Matriz Objetivos x Projetos'!$B16),"S","")),"")</f>
        <v/>
      </c>
      <c r="M16" s="18" t="str">
        <f>IFERROR(IF(VLOOKUP(M$10,'Quadro Geral'!$C$10:$E$26,3,FALSE)='Matriz Objetivos x Projetos'!$B16,"P",IF(OR(VLOOKUP('Matriz Objetivos x Projetos'!M$10,'Quadro Geral'!$C$10:$E$26,4,FALSE)='Matriz Objetivos x Projetos'!$B16,VLOOKUP('Matriz Objetivos x Projetos'!M$10,'Quadro Geral'!$C$10:$E$21,5,FALSE)='Matriz Objetivos x Projetos'!$B16),"S","")),"")</f>
        <v/>
      </c>
      <c r="N16" s="18" t="str">
        <f>IFERROR(IF(VLOOKUP(N$10,'Quadro Geral'!$C$10:$E$26,3,FALSE)='Matriz Objetivos x Projetos'!$B16,"P",IF(OR(VLOOKUP('Matriz Objetivos x Projetos'!N$10,'Quadro Geral'!$C$10:$E$26,4,FALSE)='Matriz Objetivos x Projetos'!$B16,VLOOKUP('Matriz Objetivos x Projetos'!N$10,'Quadro Geral'!$C$10:$E$21,5,FALSE)='Matriz Objetivos x Projetos'!$B16),"S","")),"")</f>
        <v/>
      </c>
      <c r="O16" s="18" t="str">
        <f>IFERROR(IF(VLOOKUP(O$10,'Quadro Geral'!$C$10:$E$26,3,FALSE)='Matriz Objetivos x Projetos'!$B16,"P",IF(OR(VLOOKUP('Matriz Objetivos x Projetos'!O$10,'Quadro Geral'!$C$10:$E$26,4,FALSE)='Matriz Objetivos x Projetos'!$B16,VLOOKUP('Matriz Objetivos x Projetos'!O$10,'Quadro Geral'!$C$10:$E$21,5,FALSE)='Matriz Objetivos x Projetos'!$B16),"S","")),"")</f>
        <v/>
      </c>
      <c r="P16" s="18" t="str">
        <f>IFERROR(IF(VLOOKUP(P$10,'Quadro Geral'!$C$10:$E$26,3,FALSE)='Matriz Objetivos x Projetos'!$B16,"P",IF(OR(VLOOKUP('Matriz Objetivos x Projetos'!P$10,'Quadro Geral'!$C$10:$E$26,4,FALSE)='Matriz Objetivos x Projetos'!$B16,VLOOKUP('Matriz Objetivos x Projetos'!P$10,'Quadro Geral'!$C$10:$E$21,5,FALSE)='Matriz Objetivos x Projetos'!$B16),"S","")),"")</f>
        <v/>
      </c>
      <c r="Q16" s="18" t="str">
        <f>IFERROR(IF(VLOOKUP(Q$10,'Quadro Geral'!$C$10:$E$26,3,FALSE)='Matriz Objetivos x Projetos'!$B16,"P",IF(OR(VLOOKUP('Matriz Objetivos x Projetos'!Q$10,'Quadro Geral'!$C$10:$E$26,4,FALSE)='Matriz Objetivos x Projetos'!$B16,VLOOKUP('Matriz Objetivos x Projetos'!Q$10,'Quadro Geral'!$C$10:$E$21,5,FALSE)='Matriz Objetivos x Projetos'!$B16),"S","")),"")</f>
        <v/>
      </c>
      <c r="R16" s="18" t="str">
        <f>IFERROR(IF(VLOOKUP(R$10,'Quadro Geral'!$C$10:$E$26,3,FALSE)='Matriz Objetivos x Projetos'!$B16,"P",IF(OR(VLOOKUP('Matriz Objetivos x Projetos'!R$10,'Quadro Geral'!$C$10:$E$26,4,FALSE)='Matriz Objetivos x Projetos'!$B16,VLOOKUP('Matriz Objetivos x Projetos'!R$10,'Quadro Geral'!$C$10:$E$21,5,FALSE)='Matriz Objetivos x Projetos'!$B16),"S","")),"")</f>
        <v/>
      </c>
      <c r="S16" s="18" t="str">
        <f>IFERROR(IF(VLOOKUP(S$10,'Quadro Geral'!$C$10:$E$26,3,FALSE)='Matriz Objetivos x Projetos'!$B16,"P",IF(OR(VLOOKUP('Matriz Objetivos x Projetos'!S$10,'Quadro Geral'!$C$10:$E$26,4,FALSE)='Matriz Objetivos x Projetos'!$B16,VLOOKUP('Matriz Objetivos x Projetos'!S$10,'Quadro Geral'!$C$10:$E$21,5,FALSE)='Matriz Objetivos x Projetos'!$B16),"S","")),"")</f>
        <v/>
      </c>
      <c r="T16" s="18" t="str">
        <f>IFERROR(IF(VLOOKUP(T$10,'Quadro Geral'!$C$10:$E$26,3,FALSE)='Matriz Objetivos x Projetos'!$B16,"P",IF(OR(VLOOKUP('Matriz Objetivos x Projetos'!T$10,'Quadro Geral'!$C$10:$E$26,4,FALSE)='Matriz Objetivos x Projetos'!$B16,VLOOKUP('Matriz Objetivos x Projetos'!T$10,'Quadro Geral'!$C$10:$E$21,5,FALSE)='Matriz Objetivos x Projetos'!$B16),"S","")),"")</f>
        <v/>
      </c>
      <c r="U16" s="18" t="str">
        <f>IFERROR(IF(VLOOKUP(U$10,'Quadro Geral'!$C$10:$E$26,3,FALSE)='Matriz Objetivos x Projetos'!$B16,"P",IF(OR(VLOOKUP('Matriz Objetivos x Projetos'!U$10,'Quadro Geral'!$C$10:$E$26,4,FALSE)='Matriz Objetivos x Projetos'!$B16,VLOOKUP('Matriz Objetivos x Projetos'!U$10,'Quadro Geral'!$C$10:$E$21,5,FALSE)='Matriz Objetivos x Projetos'!$B16),"S","")),"")</f>
        <v/>
      </c>
      <c r="V16" s="18" t="str">
        <f>IFERROR(IF(VLOOKUP(V$10,'Quadro Geral'!$C$10:$E$26,3,FALSE)='Matriz Objetivos x Projetos'!$B16,"P",IF(OR(VLOOKUP('Matriz Objetivos x Projetos'!V$10,'Quadro Geral'!$C$10:$E$26,4,FALSE)='Matriz Objetivos x Projetos'!$B16,VLOOKUP('Matriz Objetivos x Projetos'!V$10,'Quadro Geral'!$C$10:$E$21,5,FALSE)='Matriz Objetivos x Projetos'!$B16),"S","")),"")</f>
        <v/>
      </c>
      <c r="W16" s="18" t="str">
        <f>IFERROR(IF(VLOOKUP(W$10,'Quadro Geral'!$C$10:$E$26,3,FALSE)='Matriz Objetivos x Projetos'!$B16,"P",IF(OR(VLOOKUP('Matriz Objetivos x Projetos'!W$10,'Quadro Geral'!$C$10:$E$26,4,FALSE)='Matriz Objetivos x Projetos'!$B16,VLOOKUP('Matriz Objetivos x Projetos'!W$10,'Quadro Geral'!$C$10:$E$21,5,FALSE)='Matriz Objetivos x Projetos'!$B16),"S","")),"")</f>
        <v/>
      </c>
      <c r="X16" s="16">
        <f t="shared" si="0"/>
        <v>0</v>
      </c>
      <c r="Y16" s="15" t="str">
        <f t="shared" si="1"/>
        <v>Processos Internos</v>
      </c>
    </row>
    <row r="17" spans="1:25" ht="63" customHeight="1">
      <c r="A17" s="250"/>
      <c r="B17" s="81" t="s">
        <v>19</v>
      </c>
      <c r="C17" s="18" t="str">
        <f>IFERROR(IF(VLOOKUP(C$10,'Quadro Geral'!$C$10:$E$26,3,FALSE)='Matriz Objetivos x Projetos'!$B17,"P",IF(OR(VLOOKUP('Matriz Objetivos x Projetos'!C$10,'Quadro Geral'!$C$10:$E$26,4,FALSE)='Matriz Objetivos x Projetos'!$B17,VLOOKUP('Matriz Objetivos x Projetos'!C$10,'Quadro Geral'!$C$10:$E$21,5,FALSE)='Matriz Objetivos x Projetos'!$B17),"S","")),"")</f>
        <v/>
      </c>
      <c r="D17" s="18" t="str">
        <f>IFERROR(IF(VLOOKUP(D$10,'Quadro Geral'!$C$10:$E$26,3,FALSE)='Matriz Objetivos x Projetos'!$B17,"P",IF(OR(VLOOKUP('Matriz Objetivos x Projetos'!D$10,'Quadro Geral'!$C$10:$E$26,4,FALSE)='Matriz Objetivos x Projetos'!$B17,VLOOKUP('Matriz Objetivos x Projetos'!D$10,'Quadro Geral'!$C$10:$E$21,5,FALSE)='Matriz Objetivos x Projetos'!$B17),"S","")),"")</f>
        <v/>
      </c>
      <c r="E17" s="18" t="str">
        <f>IFERROR(IF(VLOOKUP(E$10,'Quadro Geral'!$C$10:$E$26,3,FALSE)='Matriz Objetivos x Projetos'!$B17,"P",IF(OR(VLOOKUP('Matriz Objetivos x Projetos'!E$10,'Quadro Geral'!$C$10:$E$26,4,FALSE)='Matriz Objetivos x Projetos'!$B17,VLOOKUP('Matriz Objetivos x Projetos'!E$10,'Quadro Geral'!$C$10:$E$21,5,FALSE)='Matriz Objetivos x Projetos'!$B17),"S","")),"")</f>
        <v/>
      </c>
      <c r="F17" s="18" t="str">
        <f>IFERROR(IF(VLOOKUP(F$10,'Quadro Geral'!$C$10:$E$26,3,FALSE)='Matriz Objetivos x Projetos'!$B17,"P",IF(OR(VLOOKUP('Matriz Objetivos x Projetos'!F$10,'Quadro Geral'!$C$10:$E$26,4,FALSE)='Matriz Objetivos x Projetos'!$B17,VLOOKUP('Matriz Objetivos x Projetos'!F$10,'Quadro Geral'!$C$10:$E$21,5,FALSE)='Matriz Objetivos x Projetos'!$B17),"S","")),"")</f>
        <v/>
      </c>
      <c r="G17" s="18" t="str">
        <f>IFERROR(IF(VLOOKUP(G$10,'Quadro Geral'!$C$10:$E$26,3,FALSE)='Matriz Objetivos x Projetos'!$B17,"P",IF(OR(VLOOKUP('Matriz Objetivos x Projetos'!G$10,'Quadro Geral'!$C$10:$E$26,4,FALSE)='Matriz Objetivos x Projetos'!$B17,VLOOKUP('Matriz Objetivos x Projetos'!G$10,'Quadro Geral'!$C$10:$E$21,5,FALSE)='Matriz Objetivos x Projetos'!$B17),"S","")),"")</f>
        <v/>
      </c>
      <c r="H17" s="18" t="str">
        <f>IFERROR(IF(VLOOKUP(H$10,'Quadro Geral'!$C$10:$E$26,3,FALSE)='Matriz Objetivos x Projetos'!$B17,"P",IF(OR(VLOOKUP('Matriz Objetivos x Projetos'!H$10,'Quadro Geral'!$C$10:$E$26,4,FALSE)='Matriz Objetivos x Projetos'!$B17,VLOOKUP('Matriz Objetivos x Projetos'!H$10,'Quadro Geral'!$C$10:$E$21,5,FALSE)='Matriz Objetivos x Projetos'!$B17),"S","")),"")</f>
        <v/>
      </c>
      <c r="I17" s="18" t="str">
        <f>IFERROR(IF(VLOOKUP(I$10,'Quadro Geral'!$C$10:$E$26,3,FALSE)='Matriz Objetivos x Projetos'!$B17,"P",IF(OR(VLOOKUP('Matriz Objetivos x Projetos'!I$10,'Quadro Geral'!$C$10:$E$26,4,FALSE)='Matriz Objetivos x Projetos'!$B17,VLOOKUP('Matriz Objetivos x Projetos'!I$10,'Quadro Geral'!$C$10:$E$21,5,FALSE)='Matriz Objetivos x Projetos'!$B17),"S","")),"")</f>
        <v/>
      </c>
      <c r="J17" s="18" t="str">
        <f>IFERROR(IF(VLOOKUP(J$10,'Quadro Geral'!$C$10:$E$26,3,FALSE)='Matriz Objetivos x Projetos'!$B17,"P",IF(OR(VLOOKUP('Matriz Objetivos x Projetos'!J$10,'Quadro Geral'!$C$10:$E$26,4,FALSE)='Matriz Objetivos x Projetos'!$B17,VLOOKUP('Matriz Objetivos x Projetos'!J$10,'Quadro Geral'!$C$10:$E$21,5,FALSE)='Matriz Objetivos x Projetos'!$B17),"S","")),"")</f>
        <v/>
      </c>
      <c r="K17" s="18" t="str">
        <f>IFERROR(IF(VLOOKUP(K$10,'Quadro Geral'!$C$10:$E$26,3,FALSE)='Matriz Objetivos x Projetos'!$B17,"P",IF(OR(VLOOKUP('Matriz Objetivos x Projetos'!K$10,'Quadro Geral'!$C$10:$E$26,4,FALSE)='Matriz Objetivos x Projetos'!$B17,VLOOKUP('Matriz Objetivos x Projetos'!K$10,'Quadro Geral'!$C$10:$E$21,5,FALSE)='Matriz Objetivos x Projetos'!$B17),"S","")),"")</f>
        <v/>
      </c>
      <c r="L17" s="18" t="str">
        <f>IFERROR(IF(VLOOKUP(L$10,'Quadro Geral'!$C$10:$E$26,3,FALSE)='Matriz Objetivos x Projetos'!$B17,"P",IF(OR(VLOOKUP('Matriz Objetivos x Projetos'!L$10,'Quadro Geral'!$C$10:$E$26,4,FALSE)='Matriz Objetivos x Projetos'!$B17,VLOOKUP('Matriz Objetivos x Projetos'!L$10,'Quadro Geral'!$C$10:$E$21,5,FALSE)='Matriz Objetivos x Projetos'!$B17),"S","")),"")</f>
        <v/>
      </c>
      <c r="M17" s="18" t="str">
        <f>IFERROR(IF(VLOOKUP(M$10,'Quadro Geral'!$C$10:$E$26,3,FALSE)='Matriz Objetivos x Projetos'!$B17,"P",IF(OR(VLOOKUP('Matriz Objetivos x Projetos'!M$10,'Quadro Geral'!$C$10:$E$26,4,FALSE)='Matriz Objetivos x Projetos'!$B17,VLOOKUP('Matriz Objetivos x Projetos'!M$10,'Quadro Geral'!$C$10:$E$21,5,FALSE)='Matriz Objetivos x Projetos'!$B17),"S","")),"")</f>
        <v/>
      </c>
      <c r="N17" s="18" t="str">
        <f>IFERROR(IF(VLOOKUP(N$10,'Quadro Geral'!$C$10:$E$26,3,FALSE)='Matriz Objetivos x Projetos'!$B17,"P",IF(OR(VLOOKUP('Matriz Objetivos x Projetos'!N$10,'Quadro Geral'!$C$10:$E$26,4,FALSE)='Matriz Objetivos x Projetos'!$B17,VLOOKUP('Matriz Objetivos x Projetos'!N$10,'Quadro Geral'!$C$10:$E$21,5,FALSE)='Matriz Objetivos x Projetos'!$B17),"S","")),"")</f>
        <v/>
      </c>
      <c r="O17" s="18" t="str">
        <f>IFERROR(IF(VLOOKUP(O$10,'Quadro Geral'!$C$10:$E$26,3,FALSE)='Matriz Objetivos x Projetos'!$B17,"P",IF(OR(VLOOKUP('Matriz Objetivos x Projetos'!O$10,'Quadro Geral'!$C$10:$E$26,4,FALSE)='Matriz Objetivos x Projetos'!$B17,VLOOKUP('Matriz Objetivos x Projetos'!O$10,'Quadro Geral'!$C$10:$E$21,5,FALSE)='Matriz Objetivos x Projetos'!$B17),"S","")),"")</f>
        <v/>
      </c>
      <c r="P17" s="18" t="str">
        <f>IFERROR(IF(VLOOKUP(P$10,'Quadro Geral'!$C$10:$E$26,3,FALSE)='Matriz Objetivos x Projetos'!$B17,"P",IF(OR(VLOOKUP('Matriz Objetivos x Projetos'!P$10,'Quadro Geral'!$C$10:$E$26,4,FALSE)='Matriz Objetivos x Projetos'!$B17,VLOOKUP('Matriz Objetivos x Projetos'!P$10,'Quadro Geral'!$C$10:$E$21,5,FALSE)='Matriz Objetivos x Projetos'!$B17),"S","")),"")</f>
        <v/>
      </c>
      <c r="Q17" s="18" t="str">
        <f>IFERROR(IF(VLOOKUP(Q$10,'Quadro Geral'!$C$10:$E$26,3,FALSE)='Matriz Objetivos x Projetos'!$B17,"P",IF(OR(VLOOKUP('Matriz Objetivos x Projetos'!Q$10,'Quadro Geral'!$C$10:$E$26,4,FALSE)='Matriz Objetivos x Projetos'!$B17,VLOOKUP('Matriz Objetivos x Projetos'!Q$10,'Quadro Geral'!$C$10:$E$21,5,FALSE)='Matriz Objetivos x Projetos'!$B17),"S","")),"")</f>
        <v/>
      </c>
      <c r="R17" s="18" t="str">
        <f>IFERROR(IF(VLOOKUP(R$10,'Quadro Geral'!$C$10:$E$26,3,FALSE)='Matriz Objetivos x Projetos'!$B17,"P",IF(OR(VLOOKUP('Matriz Objetivos x Projetos'!R$10,'Quadro Geral'!$C$10:$E$26,4,FALSE)='Matriz Objetivos x Projetos'!$B17,VLOOKUP('Matriz Objetivos x Projetos'!R$10,'Quadro Geral'!$C$10:$E$21,5,FALSE)='Matriz Objetivos x Projetos'!$B17),"S","")),"")</f>
        <v/>
      </c>
      <c r="S17" s="18" t="str">
        <f>IFERROR(IF(VLOOKUP(S$10,'Quadro Geral'!$C$10:$E$26,3,FALSE)='Matriz Objetivos x Projetos'!$B17,"P",IF(OR(VLOOKUP('Matriz Objetivos x Projetos'!S$10,'Quadro Geral'!$C$10:$E$26,4,FALSE)='Matriz Objetivos x Projetos'!$B17,VLOOKUP('Matriz Objetivos x Projetos'!S$10,'Quadro Geral'!$C$10:$E$21,5,FALSE)='Matriz Objetivos x Projetos'!$B17),"S","")),"")</f>
        <v/>
      </c>
      <c r="T17" s="18" t="str">
        <f>IFERROR(IF(VLOOKUP(T$10,'Quadro Geral'!$C$10:$E$26,3,FALSE)='Matriz Objetivos x Projetos'!$B17,"P",IF(OR(VLOOKUP('Matriz Objetivos x Projetos'!T$10,'Quadro Geral'!$C$10:$E$26,4,FALSE)='Matriz Objetivos x Projetos'!$B17,VLOOKUP('Matriz Objetivos x Projetos'!T$10,'Quadro Geral'!$C$10:$E$21,5,FALSE)='Matriz Objetivos x Projetos'!$B17),"S","")),"")</f>
        <v/>
      </c>
      <c r="U17" s="18" t="str">
        <f>IFERROR(IF(VLOOKUP(U$10,'Quadro Geral'!$C$10:$E$26,3,FALSE)='Matriz Objetivos x Projetos'!$B17,"P",IF(OR(VLOOKUP('Matriz Objetivos x Projetos'!U$10,'Quadro Geral'!$C$10:$E$26,4,FALSE)='Matriz Objetivos x Projetos'!$B17,VLOOKUP('Matriz Objetivos x Projetos'!U$10,'Quadro Geral'!$C$10:$E$21,5,FALSE)='Matriz Objetivos x Projetos'!$B17),"S","")),"")</f>
        <v/>
      </c>
      <c r="V17" s="18" t="str">
        <f>IFERROR(IF(VLOOKUP(V$10,'Quadro Geral'!$C$10:$E$26,3,FALSE)='Matriz Objetivos x Projetos'!$B17,"P",IF(OR(VLOOKUP('Matriz Objetivos x Projetos'!V$10,'Quadro Geral'!$C$10:$E$26,4,FALSE)='Matriz Objetivos x Projetos'!$B17,VLOOKUP('Matriz Objetivos x Projetos'!V$10,'Quadro Geral'!$C$10:$E$21,5,FALSE)='Matriz Objetivos x Projetos'!$B17),"S","")),"")</f>
        <v/>
      </c>
      <c r="W17" s="18" t="str">
        <f>IFERROR(IF(VLOOKUP(W$10,'Quadro Geral'!$C$10:$E$26,3,FALSE)='Matriz Objetivos x Projetos'!$B17,"P",IF(OR(VLOOKUP('Matriz Objetivos x Projetos'!W$10,'Quadro Geral'!$C$10:$E$26,4,FALSE)='Matriz Objetivos x Projetos'!$B17,VLOOKUP('Matriz Objetivos x Projetos'!W$10,'Quadro Geral'!$C$10:$E$21,5,FALSE)='Matriz Objetivos x Projetos'!$B17),"S","")),"")</f>
        <v/>
      </c>
      <c r="X17" s="16">
        <f t="shared" si="0"/>
        <v>0</v>
      </c>
      <c r="Y17" s="15" t="str">
        <f t="shared" si="1"/>
        <v>Processos Internos</v>
      </c>
    </row>
    <row r="18" spans="1:25" ht="63" customHeight="1">
      <c r="A18" s="250"/>
      <c r="B18" s="81" t="s">
        <v>20</v>
      </c>
      <c r="C18" s="18" t="str">
        <f>IFERROR(IF(VLOOKUP(C$10,'Quadro Geral'!$C$10:$E$26,3,FALSE)='Matriz Objetivos x Projetos'!$B18,"P",IF(OR(VLOOKUP('Matriz Objetivos x Projetos'!C$10,'Quadro Geral'!$C$10:$E$26,4,FALSE)='Matriz Objetivos x Projetos'!$B18,VLOOKUP('Matriz Objetivos x Projetos'!C$10,'Quadro Geral'!$C$10:$E$21,5,FALSE)='Matriz Objetivos x Projetos'!$B18),"S","")),"")</f>
        <v/>
      </c>
      <c r="D18" s="18" t="str">
        <f>IFERROR(IF(VLOOKUP(D$10,'Quadro Geral'!$C$10:$E$26,3,FALSE)='Matriz Objetivos x Projetos'!$B18,"P",IF(OR(VLOOKUP('Matriz Objetivos x Projetos'!D$10,'Quadro Geral'!$C$10:$E$26,4,FALSE)='Matriz Objetivos x Projetos'!$B18,VLOOKUP('Matriz Objetivos x Projetos'!D$10,'Quadro Geral'!$C$10:$E$21,5,FALSE)='Matriz Objetivos x Projetos'!$B18),"S","")),"")</f>
        <v/>
      </c>
      <c r="E18" s="18" t="str">
        <f>IFERROR(IF(VLOOKUP(E$10,'Quadro Geral'!$C$10:$E$26,3,FALSE)='Matriz Objetivos x Projetos'!$B18,"P",IF(OR(VLOOKUP('Matriz Objetivos x Projetos'!E$10,'Quadro Geral'!$C$10:$E$26,4,FALSE)='Matriz Objetivos x Projetos'!$B18,VLOOKUP('Matriz Objetivos x Projetos'!E$10,'Quadro Geral'!$C$10:$E$21,5,FALSE)='Matriz Objetivos x Projetos'!$B18),"S","")),"")</f>
        <v/>
      </c>
      <c r="F18" s="18" t="str">
        <f>IFERROR(IF(VLOOKUP(F$10,'Quadro Geral'!$C$10:$E$26,3,FALSE)='Matriz Objetivos x Projetos'!$B18,"P",IF(OR(VLOOKUP('Matriz Objetivos x Projetos'!F$10,'Quadro Geral'!$C$10:$E$26,4,FALSE)='Matriz Objetivos x Projetos'!$B18,VLOOKUP('Matriz Objetivos x Projetos'!F$10,'Quadro Geral'!$C$10:$E$21,5,FALSE)='Matriz Objetivos x Projetos'!$B18),"S","")),"")</f>
        <v/>
      </c>
      <c r="G18" s="18" t="str">
        <f>IFERROR(IF(VLOOKUP(G$10,'Quadro Geral'!$C$10:$E$26,3,FALSE)='Matriz Objetivos x Projetos'!$B18,"P",IF(OR(VLOOKUP('Matriz Objetivos x Projetos'!G$10,'Quadro Geral'!$C$10:$E$26,4,FALSE)='Matriz Objetivos x Projetos'!$B18,VLOOKUP('Matriz Objetivos x Projetos'!G$10,'Quadro Geral'!$C$10:$E$21,5,FALSE)='Matriz Objetivos x Projetos'!$B18),"S","")),"")</f>
        <v/>
      </c>
      <c r="H18" s="18" t="str">
        <f>IFERROR(IF(VLOOKUP(H$10,'Quadro Geral'!$C$10:$E$26,3,FALSE)='Matriz Objetivos x Projetos'!$B18,"P",IF(OR(VLOOKUP('Matriz Objetivos x Projetos'!H$10,'Quadro Geral'!$C$10:$E$26,4,FALSE)='Matriz Objetivos x Projetos'!$B18,VLOOKUP('Matriz Objetivos x Projetos'!H$10,'Quadro Geral'!$C$10:$E$21,5,FALSE)='Matriz Objetivos x Projetos'!$B18),"S","")),"")</f>
        <v/>
      </c>
      <c r="I18" s="18" t="str">
        <f>IFERROR(IF(VLOOKUP(I$10,'Quadro Geral'!$C$10:$E$26,3,FALSE)='Matriz Objetivos x Projetos'!$B18,"P",IF(OR(VLOOKUP('Matriz Objetivos x Projetos'!I$10,'Quadro Geral'!$C$10:$E$26,4,FALSE)='Matriz Objetivos x Projetos'!$B18,VLOOKUP('Matriz Objetivos x Projetos'!I$10,'Quadro Geral'!$C$10:$E$21,5,FALSE)='Matriz Objetivos x Projetos'!$B18),"S","")),"")</f>
        <v/>
      </c>
      <c r="J18" s="18" t="str">
        <f>IFERROR(IF(VLOOKUP(J$10,'Quadro Geral'!$C$10:$E$26,3,FALSE)='Matriz Objetivos x Projetos'!$B18,"P",IF(OR(VLOOKUP('Matriz Objetivos x Projetos'!J$10,'Quadro Geral'!$C$10:$E$26,4,FALSE)='Matriz Objetivos x Projetos'!$B18,VLOOKUP('Matriz Objetivos x Projetos'!J$10,'Quadro Geral'!$C$10:$E$21,5,FALSE)='Matriz Objetivos x Projetos'!$B18),"S","")),"")</f>
        <v/>
      </c>
      <c r="K18" s="18" t="str">
        <f>IFERROR(IF(VLOOKUP(K$10,'Quadro Geral'!$C$10:$E$26,3,FALSE)='Matriz Objetivos x Projetos'!$B18,"P",IF(OR(VLOOKUP('Matriz Objetivos x Projetos'!K$10,'Quadro Geral'!$C$10:$E$26,4,FALSE)='Matriz Objetivos x Projetos'!$B18,VLOOKUP('Matriz Objetivos x Projetos'!K$10,'Quadro Geral'!$C$10:$E$21,5,FALSE)='Matriz Objetivos x Projetos'!$B18),"S","")),"")</f>
        <v/>
      </c>
      <c r="L18" s="18" t="str">
        <f>IFERROR(IF(VLOOKUP(L$10,'Quadro Geral'!$C$10:$E$26,3,FALSE)='Matriz Objetivos x Projetos'!$B18,"P",IF(OR(VLOOKUP('Matriz Objetivos x Projetos'!L$10,'Quadro Geral'!$C$10:$E$26,4,FALSE)='Matriz Objetivos x Projetos'!$B18,VLOOKUP('Matriz Objetivos x Projetos'!L$10,'Quadro Geral'!$C$10:$E$21,5,FALSE)='Matriz Objetivos x Projetos'!$B18),"S","")),"")</f>
        <v/>
      </c>
      <c r="M18" s="18" t="str">
        <f>IFERROR(IF(VLOOKUP(M$10,'Quadro Geral'!$C$10:$E$26,3,FALSE)='Matriz Objetivos x Projetos'!$B18,"P",IF(OR(VLOOKUP('Matriz Objetivos x Projetos'!M$10,'Quadro Geral'!$C$10:$E$26,4,FALSE)='Matriz Objetivos x Projetos'!$B18,VLOOKUP('Matriz Objetivos x Projetos'!M$10,'Quadro Geral'!$C$10:$E$21,5,FALSE)='Matriz Objetivos x Projetos'!$B18),"S","")),"")</f>
        <v/>
      </c>
      <c r="N18" s="18" t="str">
        <f>IFERROR(IF(VLOOKUP(N$10,'Quadro Geral'!$C$10:$E$26,3,FALSE)='Matriz Objetivos x Projetos'!$B18,"P",IF(OR(VLOOKUP('Matriz Objetivos x Projetos'!N$10,'Quadro Geral'!$C$10:$E$26,4,FALSE)='Matriz Objetivos x Projetos'!$B18,VLOOKUP('Matriz Objetivos x Projetos'!N$10,'Quadro Geral'!$C$10:$E$21,5,FALSE)='Matriz Objetivos x Projetos'!$B18),"S","")),"")</f>
        <v/>
      </c>
      <c r="O18" s="18" t="str">
        <f>IFERROR(IF(VLOOKUP(O$10,'Quadro Geral'!$C$10:$E$26,3,FALSE)='Matriz Objetivos x Projetos'!$B18,"P",IF(OR(VLOOKUP('Matriz Objetivos x Projetos'!O$10,'Quadro Geral'!$C$10:$E$26,4,FALSE)='Matriz Objetivos x Projetos'!$B18,VLOOKUP('Matriz Objetivos x Projetos'!O$10,'Quadro Geral'!$C$10:$E$21,5,FALSE)='Matriz Objetivos x Projetos'!$B18),"S","")),"")</f>
        <v/>
      </c>
      <c r="P18" s="18" t="str">
        <f>IFERROR(IF(VLOOKUP(P$10,'Quadro Geral'!$C$10:$E$26,3,FALSE)='Matriz Objetivos x Projetos'!$B18,"P",IF(OR(VLOOKUP('Matriz Objetivos x Projetos'!P$10,'Quadro Geral'!$C$10:$E$26,4,FALSE)='Matriz Objetivos x Projetos'!$B18,VLOOKUP('Matriz Objetivos x Projetos'!P$10,'Quadro Geral'!$C$10:$E$21,5,FALSE)='Matriz Objetivos x Projetos'!$B18),"S","")),"")</f>
        <v/>
      </c>
      <c r="Q18" s="18" t="str">
        <f>IFERROR(IF(VLOOKUP(Q$10,'Quadro Geral'!$C$10:$E$26,3,FALSE)='Matriz Objetivos x Projetos'!$B18,"P",IF(OR(VLOOKUP('Matriz Objetivos x Projetos'!Q$10,'Quadro Geral'!$C$10:$E$26,4,FALSE)='Matriz Objetivos x Projetos'!$B18,VLOOKUP('Matriz Objetivos x Projetos'!Q$10,'Quadro Geral'!$C$10:$E$21,5,FALSE)='Matriz Objetivos x Projetos'!$B18),"S","")),"")</f>
        <v/>
      </c>
      <c r="R18" s="18" t="str">
        <f>IFERROR(IF(VLOOKUP(R$10,'Quadro Geral'!$C$10:$E$26,3,FALSE)='Matriz Objetivos x Projetos'!$B18,"P",IF(OR(VLOOKUP('Matriz Objetivos x Projetos'!R$10,'Quadro Geral'!$C$10:$E$26,4,FALSE)='Matriz Objetivos x Projetos'!$B18,VLOOKUP('Matriz Objetivos x Projetos'!R$10,'Quadro Geral'!$C$10:$E$21,5,FALSE)='Matriz Objetivos x Projetos'!$B18),"S","")),"")</f>
        <v/>
      </c>
      <c r="S18" s="18" t="str">
        <f>IFERROR(IF(VLOOKUP(S$10,'Quadro Geral'!$C$10:$E$26,3,FALSE)='Matriz Objetivos x Projetos'!$B18,"P",IF(OR(VLOOKUP('Matriz Objetivos x Projetos'!S$10,'Quadro Geral'!$C$10:$E$26,4,FALSE)='Matriz Objetivos x Projetos'!$B18,VLOOKUP('Matriz Objetivos x Projetos'!S$10,'Quadro Geral'!$C$10:$E$21,5,FALSE)='Matriz Objetivos x Projetos'!$B18),"S","")),"")</f>
        <v/>
      </c>
      <c r="T18" s="18" t="str">
        <f>IFERROR(IF(VLOOKUP(T$10,'Quadro Geral'!$C$10:$E$26,3,FALSE)='Matriz Objetivos x Projetos'!$B18,"P",IF(OR(VLOOKUP('Matriz Objetivos x Projetos'!T$10,'Quadro Geral'!$C$10:$E$26,4,FALSE)='Matriz Objetivos x Projetos'!$B18,VLOOKUP('Matriz Objetivos x Projetos'!T$10,'Quadro Geral'!$C$10:$E$21,5,FALSE)='Matriz Objetivos x Projetos'!$B18),"S","")),"")</f>
        <v/>
      </c>
      <c r="U18" s="18" t="str">
        <f>IFERROR(IF(VLOOKUP(U$10,'Quadro Geral'!$C$10:$E$26,3,FALSE)='Matriz Objetivos x Projetos'!$B18,"P",IF(OR(VLOOKUP('Matriz Objetivos x Projetos'!U$10,'Quadro Geral'!$C$10:$E$26,4,FALSE)='Matriz Objetivos x Projetos'!$B18,VLOOKUP('Matriz Objetivos x Projetos'!U$10,'Quadro Geral'!$C$10:$E$21,5,FALSE)='Matriz Objetivos x Projetos'!$B18),"S","")),"")</f>
        <v/>
      </c>
      <c r="V18" s="18" t="str">
        <f>IFERROR(IF(VLOOKUP(V$10,'Quadro Geral'!$C$10:$E$26,3,FALSE)='Matriz Objetivos x Projetos'!$B18,"P",IF(OR(VLOOKUP('Matriz Objetivos x Projetos'!V$10,'Quadro Geral'!$C$10:$E$26,4,FALSE)='Matriz Objetivos x Projetos'!$B18,VLOOKUP('Matriz Objetivos x Projetos'!V$10,'Quadro Geral'!$C$10:$E$21,5,FALSE)='Matriz Objetivos x Projetos'!$B18),"S","")),"")</f>
        <v/>
      </c>
      <c r="W18" s="18" t="str">
        <f>IFERROR(IF(VLOOKUP(W$10,'Quadro Geral'!$C$10:$E$26,3,FALSE)='Matriz Objetivos x Projetos'!$B18,"P",IF(OR(VLOOKUP('Matriz Objetivos x Projetos'!W$10,'Quadro Geral'!$C$10:$E$26,4,FALSE)='Matriz Objetivos x Projetos'!$B18,VLOOKUP('Matriz Objetivos x Projetos'!W$10,'Quadro Geral'!$C$10:$E$21,5,FALSE)='Matriz Objetivos x Projetos'!$B18),"S","")),"")</f>
        <v/>
      </c>
      <c r="X18" s="16">
        <f t="shared" si="0"/>
        <v>0</v>
      </c>
      <c r="Y18" s="15" t="str">
        <f t="shared" si="1"/>
        <v>Processos Internos</v>
      </c>
    </row>
    <row r="19" spans="1:25" s="17" customFormat="1" ht="63" customHeight="1">
      <c r="A19" s="250"/>
      <c r="B19" s="81" t="s">
        <v>21</v>
      </c>
      <c r="C19" s="18" t="str">
        <f>IFERROR(IF(VLOOKUP(C$10,'Quadro Geral'!$C$10:$E$26,3,FALSE)='Matriz Objetivos x Projetos'!$B19,"P",IF(OR(VLOOKUP('Matriz Objetivos x Projetos'!C$10,'Quadro Geral'!$C$10:$E$26,4,FALSE)='Matriz Objetivos x Projetos'!$B19,VLOOKUP('Matriz Objetivos x Projetos'!C$10,'Quadro Geral'!$C$10:$E$21,5,FALSE)='Matriz Objetivos x Projetos'!$B19),"S","")),"")</f>
        <v/>
      </c>
      <c r="D19" s="18" t="str">
        <f>IFERROR(IF(VLOOKUP(D$10,'Quadro Geral'!$C$10:$E$26,3,FALSE)='Matriz Objetivos x Projetos'!$B19,"P",IF(OR(VLOOKUP('Matriz Objetivos x Projetos'!D$10,'Quadro Geral'!$C$10:$E$26,4,FALSE)='Matriz Objetivos x Projetos'!$B19,VLOOKUP('Matriz Objetivos x Projetos'!D$10,'Quadro Geral'!$C$10:$E$21,5,FALSE)='Matriz Objetivos x Projetos'!$B19),"S","")),"")</f>
        <v/>
      </c>
      <c r="E19" s="18" t="str">
        <f>IFERROR(IF(VLOOKUP(E$10,'Quadro Geral'!$C$10:$E$26,3,FALSE)='Matriz Objetivos x Projetos'!$B19,"P",IF(OR(VLOOKUP('Matriz Objetivos x Projetos'!E$10,'Quadro Geral'!$C$10:$E$26,4,FALSE)='Matriz Objetivos x Projetos'!$B19,VLOOKUP('Matriz Objetivos x Projetos'!E$10,'Quadro Geral'!$C$10:$E$21,5,FALSE)='Matriz Objetivos x Projetos'!$B19),"S","")),"")</f>
        <v/>
      </c>
      <c r="F19" s="18" t="str">
        <f>IFERROR(IF(VLOOKUP(F$10,'Quadro Geral'!$C$10:$E$26,3,FALSE)='Matriz Objetivos x Projetos'!$B19,"P",IF(OR(VLOOKUP('Matriz Objetivos x Projetos'!F$10,'Quadro Geral'!$C$10:$E$26,4,FALSE)='Matriz Objetivos x Projetos'!$B19,VLOOKUP('Matriz Objetivos x Projetos'!F$10,'Quadro Geral'!$C$10:$E$21,5,FALSE)='Matriz Objetivos x Projetos'!$B19),"S","")),"")</f>
        <v/>
      </c>
      <c r="G19" s="18" t="str">
        <f>IFERROR(IF(VLOOKUP(G$10,'Quadro Geral'!$C$10:$E$26,3,FALSE)='Matriz Objetivos x Projetos'!$B19,"P",IF(OR(VLOOKUP('Matriz Objetivos x Projetos'!G$10,'Quadro Geral'!$C$10:$E$26,4,FALSE)='Matriz Objetivos x Projetos'!$B19,VLOOKUP('Matriz Objetivos x Projetos'!G$10,'Quadro Geral'!$C$10:$E$21,5,FALSE)='Matriz Objetivos x Projetos'!$B19),"S","")),"")</f>
        <v/>
      </c>
      <c r="H19" s="18" t="str">
        <f>IFERROR(IF(VLOOKUP(H$10,'Quadro Geral'!$C$10:$E$26,3,FALSE)='Matriz Objetivos x Projetos'!$B19,"P",IF(OR(VLOOKUP('Matriz Objetivos x Projetos'!H$10,'Quadro Geral'!$C$10:$E$26,4,FALSE)='Matriz Objetivos x Projetos'!$B19,VLOOKUP('Matriz Objetivos x Projetos'!H$10,'Quadro Geral'!$C$10:$E$21,5,FALSE)='Matriz Objetivos x Projetos'!$B19),"S","")),"")</f>
        <v/>
      </c>
      <c r="I19" s="18" t="str">
        <f>IFERROR(IF(VLOOKUP(I$10,'Quadro Geral'!$C$10:$E$26,3,FALSE)='Matriz Objetivos x Projetos'!$B19,"P",IF(OR(VLOOKUP('Matriz Objetivos x Projetos'!I$10,'Quadro Geral'!$C$10:$E$26,4,FALSE)='Matriz Objetivos x Projetos'!$B19,VLOOKUP('Matriz Objetivos x Projetos'!I$10,'Quadro Geral'!$C$10:$E$21,5,FALSE)='Matriz Objetivos x Projetos'!$B19),"S","")),"")</f>
        <v/>
      </c>
      <c r="J19" s="18" t="str">
        <f>IFERROR(IF(VLOOKUP(J$10,'Quadro Geral'!$C$10:$E$26,3,FALSE)='Matriz Objetivos x Projetos'!$B19,"P",IF(OR(VLOOKUP('Matriz Objetivos x Projetos'!J$10,'Quadro Geral'!$C$10:$E$26,4,FALSE)='Matriz Objetivos x Projetos'!$B19,VLOOKUP('Matriz Objetivos x Projetos'!J$10,'Quadro Geral'!$C$10:$E$21,5,FALSE)='Matriz Objetivos x Projetos'!$B19),"S","")),"")</f>
        <v/>
      </c>
      <c r="K19" s="18" t="str">
        <f>IFERROR(IF(VLOOKUP(K$10,'Quadro Geral'!$C$10:$E$26,3,FALSE)='Matriz Objetivos x Projetos'!$B19,"P",IF(OR(VLOOKUP('Matriz Objetivos x Projetos'!K$10,'Quadro Geral'!$C$10:$E$26,4,FALSE)='Matriz Objetivos x Projetos'!$B19,VLOOKUP('Matriz Objetivos x Projetos'!K$10,'Quadro Geral'!$C$10:$E$21,5,FALSE)='Matriz Objetivos x Projetos'!$B19),"S","")),"")</f>
        <v/>
      </c>
      <c r="L19" s="18" t="str">
        <f>IFERROR(IF(VLOOKUP(L$10,'Quadro Geral'!$C$10:$E$26,3,FALSE)='Matriz Objetivos x Projetos'!$B19,"P",IF(OR(VLOOKUP('Matriz Objetivos x Projetos'!L$10,'Quadro Geral'!$C$10:$E$26,4,FALSE)='Matriz Objetivos x Projetos'!$B19,VLOOKUP('Matriz Objetivos x Projetos'!L$10,'Quadro Geral'!$C$10:$E$21,5,FALSE)='Matriz Objetivos x Projetos'!$B19),"S","")),"")</f>
        <v/>
      </c>
      <c r="M19" s="18" t="str">
        <f>IFERROR(IF(VLOOKUP(M$10,'Quadro Geral'!$C$10:$E$26,3,FALSE)='Matriz Objetivos x Projetos'!$B19,"P",IF(OR(VLOOKUP('Matriz Objetivos x Projetos'!M$10,'Quadro Geral'!$C$10:$E$26,4,FALSE)='Matriz Objetivos x Projetos'!$B19,VLOOKUP('Matriz Objetivos x Projetos'!M$10,'Quadro Geral'!$C$10:$E$21,5,FALSE)='Matriz Objetivos x Projetos'!$B19),"S","")),"")</f>
        <v/>
      </c>
      <c r="N19" s="18" t="str">
        <f>IFERROR(IF(VLOOKUP(N$10,'Quadro Geral'!$C$10:$E$26,3,FALSE)='Matriz Objetivos x Projetos'!$B19,"P",IF(OR(VLOOKUP('Matriz Objetivos x Projetos'!N$10,'Quadro Geral'!$C$10:$E$26,4,FALSE)='Matriz Objetivos x Projetos'!$B19,VLOOKUP('Matriz Objetivos x Projetos'!N$10,'Quadro Geral'!$C$10:$E$21,5,FALSE)='Matriz Objetivos x Projetos'!$B19),"S","")),"")</f>
        <v/>
      </c>
      <c r="O19" s="18" t="str">
        <f>IFERROR(IF(VLOOKUP(O$10,'Quadro Geral'!$C$10:$E$26,3,FALSE)='Matriz Objetivos x Projetos'!$B19,"P",IF(OR(VLOOKUP('Matriz Objetivos x Projetos'!O$10,'Quadro Geral'!$C$10:$E$26,4,FALSE)='Matriz Objetivos x Projetos'!$B19,VLOOKUP('Matriz Objetivos x Projetos'!O$10,'Quadro Geral'!$C$10:$E$21,5,FALSE)='Matriz Objetivos x Projetos'!$B19),"S","")),"")</f>
        <v/>
      </c>
      <c r="P19" s="18" t="str">
        <f>IFERROR(IF(VLOOKUP(P$10,'Quadro Geral'!$C$10:$E$26,3,FALSE)='Matriz Objetivos x Projetos'!$B19,"P",IF(OR(VLOOKUP('Matriz Objetivos x Projetos'!P$10,'Quadro Geral'!$C$10:$E$26,4,FALSE)='Matriz Objetivos x Projetos'!$B19,VLOOKUP('Matriz Objetivos x Projetos'!P$10,'Quadro Geral'!$C$10:$E$21,5,FALSE)='Matriz Objetivos x Projetos'!$B19),"S","")),"")</f>
        <v/>
      </c>
      <c r="Q19" s="18" t="str">
        <f>IFERROR(IF(VLOOKUP(Q$10,'Quadro Geral'!$C$10:$E$26,3,FALSE)='Matriz Objetivos x Projetos'!$B19,"P",IF(OR(VLOOKUP('Matriz Objetivos x Projetos'!Q$10,'Quadro Geral'!$C$10:$E$26,4,FALSE)='Matriz Objetivos x Projetos'!$B19,VLOOKUP('Matriz Objetivos x Projetos'!Q$10,'Quadro Geral'!$C$10:$E$21,5,FALSE)='Matriz Objetivos x Projetos'!$B19),"S","")),"")</f>
        <v/>
      </c>
      <c r="R19" s="18" t="str">
        <f>IFERROR(IF(VLOOKUP(R$10,'Quadro Geral'!$C$10:$E$26,3,FALSE)='Matriz Objetivos x Projetos'!$B19,"P",IF(OR(VLOOKUP('Matriz Objetivos x Projetos'!R$10,'Quadro Geral'!$C$10:$E$26,4,FALSE)='Matriz Objetivos x Projetos'!$B19,VLOOKUP('Matriz Objetivos x Projetos'!R$10,'Quadro Geral'!$C$10:$E$21,5,FALSE)='Matriz Objetivos x Projetos'!$B19),"S","")),"")</f>
        <v/>
      </c>
      <c r="S19" s="18" t="str">
        <f>IFERROR(IF(VLOOKUP(S$10,'Quadro Geral'!$C$10:$E$26,3,FALSE)='Matriz Objetivos x Projetos'!$B19,"P",IF(OR(VLOOKUP('Matriz Objetivos x Projetos'!S$10,'Quadro Geral'!$C$10:$E$26,4,FALSE)='Matriz Objetivos x Projetos'!$B19,VLOOKUP('Matriz Objetivos x Projetos'!S$10,'Quadro Geral'!$C$10:$E$21,5,FALSE)='Matriz Objetivos x Projetos'!$B19),"S","")),"")</f>
        <v/>
      </c>
      <c r="T19" s="18" t="str">
        <f>IFERROR(IF(VLOOKUP(T$10,'Quadro Geral'!$C$10:$E$26,3,FALSE)='Matriz Objetivos x Projetos'!$B19,"P",IF(OR(VLOOKUP('Matriz Objetivos x Projetos'!T$10,'Quadro Geral'!$C$10:$E$26,4,FALSE)='Matriz Objetivos x Projetos'!$B19,VLOOKUP('Matriz Objetivos x Projetos'!T$10,'Quadro Geral'!$C$10:$E$21,5,FALSE)='Matriz Objetivos x Projetos'!$B19),"S","")),"")</f>
        <v/>
      </c>
      <c r="U19" s="18" t="str">
        <f>IFERROR(IF(VLOOKUP(U$10,'Quadro Geral'!$C$10:$E$26,3,FALSE)='Matriz Objetivos x Projetos'!$B19,"P",IF(OR(VLOOKUP('Matriz Objetivos x Projetos'!U$10,'Quadro Geral'!$C$10:$E$26,4,FALSE)='Matriz Objetivos x Projetos'!$B19,VLOOKUP('Matriz Objetivos x Projetos'!U$10,'Quadro Geral'!$C$10:$E$21,5,FALSE)='Matriz Objetivos x Projetos'!$B19),"S","")),"")</f>
        <v/>
      </c>
      <c r="V19" s="18" t="str">
        <f>IFERROR(IF(VLOOKUP(V$10,'Quadro Geral'!$C$10:$E$26,3,FALSE)='Matriz Objetivos x Projetos'!$B19,"P",IF(OR(VLOOKUP('Matriz Objetivos x Projetos'!V$10,'Quadro Geral'!$C$10:$E$26,4,FALSE)='Matriz Objetivos x Projetos'!$B19,VLOOKUP('Matriz Objetivos x Projetos'!V$10,'Quadro Geral'!$C$10:$E$21,5,FALSE)='Matriz Objetivos x Projetos'!$B19),"S","")),"")</f>
        <v/>
      </c>
      <c r="W19" s="18" t="str">
        <f>IFERROR(IF(VLOOKUP(W$10,'Quadro Geral'!$C$10:$E$26,3,FALSE)='Matriz Objetivos x Projetos'!$B19,"P",IF(OR(VLOOKUP('Matriz Objetivos x Projetos'!W$10,'Quadro Geral'!$C$10:$E$26,4,FALSE)='Matriz Objetivos x Projetos'!$B19,VLOOKUP('Matriz Objetivos x Projetos'!W$10,'Quadro Geral'!$C$10:$E$21,5,FALSE)='Matriz Objetivos x Projetos'!$B19),"S","")),"")</f>
        <v/>
      </c>
      <c r="X19" s="16">
        <f t="shared" si="0"/>
        <v>0</v>
      </c>
      <c r="Y19" s="15" t="str">
        <f t="shared" si="1"/>
        <v>Processos Internos</v>
      </c>
    </row>
    <row r="20" spans="1:25" ht="63" customHeight="1">
      <c r="A20" s="250"/>
      <c r="B20" s="81" t="s">
        <v>22</v>
      </c>
      <c r="C20" s="18" t="str">
        <f>IFERROR(IF(VLOOKUP(C$10,'Quadro Geral'!$C$10:$E$26,3,FALSE)='Matriz Objetivos x Projetos'!$B20,"P",IF(OR(VLOOKUP('Matriz Objetivos x Projetos'!C$10,'Quadro Geral'!$C$10:$E$26,4,FALSE)='Matriz Objetivos x Projetos'!$B20,VLOOKUP('Matriz Objetivos x Projetos'!C$10,'Quadro Geral'!$C$10:$E$21,5,FALSE)='Matriz Objetivos x Projetos'!$B20),"S","")),"")</f>
        <v/>
      </c>
      <c r="D20" s="18" t="str">
        <f>IFERROR(IF(VLOOKUP(D$10,'Quadro Geral'!$C$10:$E$26,3,FALSE)='Matriz Objetivos x Projetos'!$B20,"P",IF(OR(VLOOKUP('Matriz Objetivos x Projetos'!D$10,'Quadro Geral'!$C$10:$E$26,4,FALSE)='Matriz Objetivos x Projetos'!$B20,VLOOKUP('Matriz Objetivos x Projetos'!D$10,'Quadro Geral'!$C$10:$E$21,5,FALSE)='Matriz Objetivos x Projetos'!$B20),"S","")),"")</f>
        <v/>
      </c>
      <c r="E20" s="18" t="str">
        <f>IFERROR(IF(VLOOKUP(E$10,'Quadro Geral'!$C$10:$E$26,3,FALSE)='Matriz Objetivos x Projetos'!$B20,"P",IF(OR(VLOOKUP('Matriz Objetivos x Projetos'!E$10,'Quadro Geral'!$C$10:$E$26,4,FALSE)='Matriz Objetivos x Projetos'!$B20,VLOOKUP('Matriz Objetivos x Projetos'!E$10,'Quadro Geral'!$C$10:$E$21,5,FALSE)='Matriz Objetivos x Projetos'!$B20),"S","")),"")</f>
        <v/>
      </c>
      <c r="F20" s="18" t="str">
        <f>IFERROR(IF(VLOOKUP(F$10,'Quadro Geral'!$C$10:$E$26,3,FALSE)='Matriz Objetivos x Projetos'!$B20,"P",IF(OR(VLOOKUP('Matriz Objetivos x Projetos'!F$10,'Quadro Geral'!$C$10:$E$26,4,FALSE)='Matriz Objetivos x Projetos'!$B20,VLOOKUP('Matriz Objetivos x Projetos'!F$10,'Quadro Geral'!$C$10:$E$21,5,FALSE)='Matriz Objetivos x Projetos'!$B20),"S","")),"")</f>
        <v/>
      </c>
      <c r="G20" s="18" t="str">
        <f>IFERROR(IF(VLOOKUP(G$10,'Quadro Geral'!$C$10:$E$26,3,FALSE)='Matriz Objetivos x Projetos'!$B20,"P",IF(OR(VLOOKUP('Matriz Objetivos x Projetos'!G$10,'Quadro Geral'!$C$10:$E$26,4,FALSE)='Matriz Objetivos x Projetos'!$B20,VLOOKUP('Matriz Objetivos x Projetos'!G$10,'Quadro Geral'!$C$10:$E$21,5,FALSE)='Matriz Objetivos x Projetos'!$B20),"S","")),"")</f>
        <v/>
      </c>
      <c r="H20" s="18" t="str">
        <f>IFERROR(IF(VLOOKUP(H$10,'Quadro Geral'!$C$10:$E$26,3,FALSE)='Matriz Objetivos x Projetos'!$B20,"P",IF(OR(VLOOKUP('Matriz Objetivos x Projetos'!H$10,'Quadro Geral'!$C$10:$E$26,4,FALSE)='Matriz Objetivos x Projetos'!$B20,VLOOKUP('Matriz Objetivos x Projetos'!H$10,'Quadro Geral'!$C$10:$E$21,5,FALSE)='Matriz Objetivos x Projetos'!$B20),"S","")),"")</f>
        <v/>
      </c>
      <c r="I20" s="18" t="str">
        <f>IFERROR(IF(VLOOKUP(I$10,'Quadro Geral'!$C$10:$E$26,3,FALSE)='Matriz Objetivos x Projetos'!$B20,"P",IF(OR(VLOOKUP('Matriz Objetivos x Projetos'!I$10,'Quadro Geral'!$C$10:$E$26,4,FALSE)='Matriz Objetivos x Projetos'!$B20,VLOOKUP('Matriz Objetivos x Projetos'!I$10,'Quadro Geral'!$C$10:$E$21,5,FALSE)='Matriz Objetivos x Projetos'!$B20),"S","")),"")</f>
        <v/>
      </c>
      <c r="J20" s="18" t="str">
        <f>IFERROR(IF(VLOOKUP(J$10,'Quadro Geral'!$C$10:$E$26,3,FALSE)='Matriz Objetivos x Projetos'!$B20,"P",IF(OR(VLOOKUP('Matriz Objetivos x Projetos'!J$10,'Quadro Geral'!$C$10:$E$26,4,FALSE)='Matriz Objetivos x Projetos'!$B20,VLOOKUP('Matriz Objetivos x Projetos'!J$10,'Quadro Geral'!$C$10:$E$21,5,FALSE)='Matriz Objetivos x Projetos'!$B20),"S","")),"")</f>
        <v/>
      </c>
      <c r="K20" s="18" t="str">
        <f>IFERROR(IF(VLOOKUP(K$10,'Quadro Geral'!$C$10:$E$26,3,FALSE)='Matriz Objetivos x Projetos'!$B20,"P",IF(OR(VLOOKUP('Matriz Objetivos x Projetos'!K$10,'Quadro Geral'!$C$10:$E$26,4,FALSE)='Matriz Objetivos x Projetos'!$B20,VLOOKUP('Matriz Objetivos x Projetos'!K$10,'Quadro Geral'!$C$10:$E$21,5,FALSE)='Matriz Objetivos x Projetos'!$B20),"S","")),"")</f>
        <v/>
      </c>
      <c r="L20" s="18" t="str">
        <f>IFERROR(IF(VLOOKUP(L$10,'Quadro Geral'!$C$10:$E$26,3,FALSE)='Matriz Objetivos x Projetos'!$B20,"P",IF(OR(VLOOKUP('Matriz Objetivos x Projetos'!L$10,'Quadro Geral'!$C$10:$E$26,4,FALSE)='Matriz Objetivos x Projetos'!$B20,VLOOKUP('Matriz Objetivos x Projetos'!L$10,'Quadro Geral'!$C$10:$E$21,5,FALSE)='Matriz Objetivos x Projetos'!$B20),"S","")),"")</f>
        <v/>
      </c>
      <c r="M20" s="18" t="str">
        <f>IFERROR(IF(VLOOKUP(M$10,'Quadro Geral'!$C$10:$E$26,3,FALSE)='Matriz Objetivos x Projetos'!$B20,"P",IF(OR(VLOOKUP('Matriz Objetivos x Projetos'!M$10,'Quadro Geral'!$C$10:$E$26,4,FALSE)='Matriz Objetivos x Projetos'!$B20,VLOOKUP('Matriz Objetivos x Projetos'!M$10,'Quadro Geral'!$C$10:$E$21,5,FALSE)='Matriz Objetivos x Projetos'!$B20),"S","")),"")</f>
        <v/>
      </c>
      <c r="N20" s="18" t="str">
        <f>IFERROR(IF(VLOOKUP(N$10,'Quadro Geral'!$C$10:$E$26,3,FALSE)='Matriz Objetivos x Projetos'!$B20,"P",IF(OR(VLOOKUP('Matriz Objetivos x Projetos'!N$10,'Quadro Geral'!$C$10:$E$26,4,FALSE)='Matriz Objetivos x Projetos'!$B20,VLOOKUP('Matriz Objetivos x Projetos'!N$10,'Quadro Geral'!$C$10:$E$21,5,FALSE)='Matriz Objetivos x Projetos'!$B20),"S","")),"")</f>
        <v/>
      </c>
      <c r="O20" s="18" t="str">
        <f>IFERROR(IF(VLOOKUP(O$10,'Quadro Geral'!$C$10:$E$26,3,FALSE)='Matriz Objetivos x Projetos'!$B20,"P",IF(OR(VLOOKUP('Matriz Objetivos x Projetos'!O$10,'Quadro Geral'!$C$10:$E$26,4,FALSE)='Matriz Objetivos x Projetos'!$B20,VLOOKUP('Matriz Objetivos x Projetos'!O$10,'Quadro Geral'!$C$10:$E$21,5,FALSE)='Matriz Objetivos x Projetos'!$B20),"S","")),"")</f>
        <v/>
      </c>
      <c r="P20" s="18" t="str">
        <f>IFERROR(IF(VLOOKUP(P$10,'Quadro Geral'!$C$10:$E$26,3,FALSE)='Matriz Objetivos x Projetos'!$B20,"P",IF(OR(VLOOKUP('Matriz Objetivos x Projetos'!P$10,'Quadro Geral'!$C$10:$E$26,4,FALSE)='Matriz Objetivos x Projetos'!$B20,VLOOKUP('Matriz Objetivos x Projetos'!P$10,'Quadro Geral'!$C$10:$E$21,5,FALSE)='Matriz Objetivos x Projetos'!$B20),"S","")),"")</f>
        <v/>
      </c>
      <c r="Q20" s="18" t="str">
        <f>IFERROR(IF(VLOOKUP(Q$10,'Quadro Geral'!$C$10:$E$26,3,FALSE)='Matriz Objetivos x Projetos'!$B20,"P",IF(OR(VLOOKUP('Matriz Objetivos x Projetos'!Q$10,'Quadro Geral'!$C$10:$E$26,4,FALSE)='Matriz Objetivos x Projetos'!$B20,VLOOKUP('Matriz Objetivos x Projetos'!Q$10,'Quadro Geral'!$C$10:$E$21,5,FALSE)='Matriz Objetivos x Projetos'!$B20),"S","")),"")</f>
        <v/>
      </c>
      <c r="R20" s="18" t="str">
        <f>IFERROR(IF(VLOOKUP(R$10,'Quadro Geral'!$C$10:$E$26,3,FALSE)='Matriz Objetivos x Projetos'!$B20,"P",IF(OR(VLOOKUP('Matriz Objetivos x Projetos'!R$10,'Quadro Geral'!$C$10:$E$26,4,FALSE)='Matriz Objetivos x Projetos'!$B20,VLOOKUP('Matriz Objetivos x Projetos'!R$10,'Quadro Geral'!$C$10:$E$21,5,FALSE)='Matriz Objetivos x Projetos'!$B20),"S","")),"")</f>
        <v/>
      </c>
      <c r="S20" s="18" t="str">
        <f>IFERROR(IF(VLOOKUP(S$10,'Quadro Geral'!$C$10:$E$26,3,FALSE)='Matriz Objetivos x Projetos'!$B20,"P",IF(OR(VLOOKUP('Matriz Objetivos x Projetos'!S$10,'Quadro Geral'!$C$10:$E$26,4,FALSE)='Matriz Objetivos x Projetos'!$B20,VLOOKUP('Matriz Objetivos x Projetos'!S$10,'Quadro Geral'!$C$10:$E$21,5,FALSE)='Matriz Objetivos x Projetos'!$B20),"S","")),"")</f>
        <v/>
      </c>
      <c r="T20" s="18" t="str">
        <f>IFERROR(IF(VLOOKUP(T$10,'Quadro Geral'!$C$10:$E$26,3,FALSE)='Matriz Objetivos x Projetos'!$B20,"P",IF(OR(VLOOKUP('Matriz Objetivos x Projetos'!T$10,'Quadro Geral'!$C$10:$E$26,4,FALSE)='Matriz Objetivos x Projetos'!$B20,VLOOKUP('Matriz Objetivos x Projetos'!T$10,'Quadro Geral'!$C$10:$E$21,5,FALSE)='Matriz Objetivos x Projetos'!$B20),"S","")),"")</f>
        <v/>
      </c>
      <c r="U20" s="18" t="str">
        <f>IFERROR(IF(VLOOKUP(U$10,'Quadro Geral'!$C$10:$E$26,3,FALSE)='Matriz Objetivos x Projetos'!$B20,"P",IF(OR(VLOOKUP('Matriz Objetivos x Projetos'!U$10,'Quadro Geral'!$C$10:$E$26,4,FALSE)='Matriz Objetivos x Projetos'!$B20,VLOOKUP('Matriz Objetivos x Projetos'!U$10,'Quadro Geral'!$C$10:$E$21,5,FALSE)='Matriz Objetivos x Projetos'!$B20),"S","")),"")</f>
        <v/>
      </c>
      <c r="V20" s="18" t="str">
        <f>IFERROR(IF(VLOOKUP(V$10,'Quadro Geral'!$C$10:$E$26,3,FALSE)='Matriz Objetivos x Projetos'!$B20,"P",IF(OR(VLOOKUP('Matriz Objetivos x Projetos'!V$10,'Quadro Geral'!$C$10:$E$26,4,FALSE)='Matriz Objetivos x Projetos'!$B20,VLOOKUP('Matriz Objetivos x Projetos'!V$10,'Quadro Geral'!$C$10:$E$21,5,FALSE)='Matriz Objetivos x Projetos'!$B20),"S","")),"")</f>
        <v/>
      </c>
      <c r="W20" s="18" t="str">
        <f>IFERROR(IF(VLOOKUP(W$10,'Quadro Geral'!$C$10:$E$26,3,FALSE)='Matriz Objetivos x Projetos'!$B20,"P",IF(OR(VLOOKUP('Matriz Objetivos x Projetos'!W$10,'Quadro Geral'!$C$10:$E$26,4,FALSE)='Matriz Objetivos x Projetos'!$B20,VLOOKUP('Matriz Objetivos x Projetos'!W$10,'Quadro Geral'!$C$10:$E$21,5,FALSE)='Matriz Objetivos x Projetos'!$B20),"S","")),"")</f>
        <v/>
      </c>
      <c r="X20" s="16">
        <f t="shared" si="0"/>
        <v>0</v>
      </c>
      <c r="Y20" s="15" t="str">
        <f t="shared" si="1"/>
        <v>Processos Internos</v>
      </c>
    </row>
    <row r="21" spans="1:25" ht="63" customHeight="1">
      <c r="A21" s="250"/>
      <c r="B21" s="81" t="s">
        <v>23</v>
      </c>
      <c r="C21" s="18" t="str">
        <f>IFERROR(IF(VLOOKUP(C$10,'Quadro Geral'!$C$10:$E$26,3,FALSE)='Matriz Objetivos x Projetos'!$B21,"P",IF(OR(VLOOKUP('Matriz Objetivos x Projetos'!C$10,'Quadro Geral'!$C$10:$E$26,4,FALSE)='Matriz Objetivos x Projetos'!$B21,VLOOKUP('Matriz Objetivos x Projetos'!C$10,'Quadro Geral'!$C$10:$E$21,5,FALSE)='Matriz Objetivos x Projetos'!$B21),"S","")),"")</f>
        <v/>
      </c>
      <c r="D21" s="18" t="str">
        <f>IFERROR(IF(VLOOKUP(D$10,'Quadro Geral'!$C$10:$E$26,3,FALSE)='Matriz Objetivos x Projetos'!$B21,"P",IF(OR(VLOOKUP('Matriz Objetivos x Projetos'!D$10,'Quadro Geral'!$C$10:$E$26,4,FALSE)='Matriz Objetivos x Projetos'!$B21,VLOOKUP('Matriz Objetivos x Projetos'!D$10,'Quadro Geral'!$C$10:$E$21,5,FALSE)='Matriz Objetivos x Projetos'!$B21),"S","")),"")</f>
        <v/>
      </c>
      <c r="E21" s="18" t="str">
        <f>IFERROR(IF(VLOOKUP(E$10,'Quadro Geral'!$C$10:$E$26,3,FALSE)='Matriz Objetivos x Projetos'!$B21,"P",IF(OR(VLOOKUP('Matriz Objetivos x Projetos'!E$10,'Quadro Geral'!$C$10:$E$26,4,FALSE)='Matriz Objetivos x Projetos'!$B21,VLOOKUP('Matriz Objetivos x Projetos'!E$10,'Quadro Geral'!$C$10:$E$21,5,FALSE)='Matriz Objetivos x Projetos'!$B21),"S","")),"")</f>
        <v/>
      </c>
      <c r="F21" s="18" t="str">
        <f>IFERROR(IF(VLOOKUP(F$10,'Quadro Geral'!$C$10:$E$26,3,FALSE)='Matriz Objetivos x Projetos'!$B21,"P",IF(OR(VLOOKUP('Matriz Objetivos x Projetos'!F$10,'Quadro Geral'!$C$10:$E$26,4,FALSE)='Matriz Objetivos x Projetos'!$B21,VLOOKUP('Matriz Objetivos x Projetos'!F$10,'Quadro Geral'!$C$10:$E$21,5,FALSE)='Matriz Objetivos x Projetos'!$B21),"S","")),"")</f>
        <v/>
      </c>
      <c r="G21" s="18" t="str">
        <f>IFERROR(IF(VLOOKUP(G$10,'Quadro Geral'!$C$10:$E$26,3,FALSE)='Matriz Objetivos x Projetos'!$B21,"P",IF(OR(VLOOKUP('Matriz Objetivos x Projetos'!G$10,'Quadro Geral'!$C$10:$E$26,4,FALSE)='Matriz Objetivos x Projetos'!$B21,VLOOKUP('Matriz Objetivos x Projetos'!G$10,'Quadro Geral'!$C$10:$E$21,5,FALSE)='Matriz Objetivos x Projetos'!$B21),"S","")),"")</f>
        <v/>
      </c>
      <c r="H21" s="18" t="str">
        <f>IFERROR(IF(VLOOKUP(H$10,'Quadro Geral'!$C$10:$E$26,3,FALSE)='Matriz Objetivos x Projetos'!$B21,"P",IF(OR(VLOOKUP('Matriz Objetivos x Projetos'!H$10,'Quadro Geral'!$C$10:$E$26,4,FALSE)='Matriz Objetivos x Projetos'!$B21,VLOOKUP('Matriz Objetivos x Projetos'!H$10,'Quadro Geral'!$C$10:$E$21,5,FALSE)='Matriz Objetivos x Projetos'!$B21),"S","")),"")</f>
        <v/>
      </c>
      <c r="I21" s="18" t="str">
        <f>IFERROR(IF(VLOOKUP(I$10,'Quadro Geral'!$C$10:$E$26,3,FALSE)='Matriz Objetivos x Projetos'!$B21,"P",IF(OR(VLOOKUP('Matriz Objetivos x Projetos'!I$10,'Quadro Geral'!$C$10:$E$26,4,FALSE)='Matriz Objetivos x Projetos'!$B21,VLOOKUP('Matriz Objetivos x Projetos'!I$10,'Quadro Geral'!$C$10:$E$21,5,FALSE)='Matriz Objetivos x Projetos'!$B21),"S","")),"")</f>
        <v/>
      </c>
      <c r="J21" s="18" t="str">
        <f>IFERROR(IF(VLOOKUP(J$10,'Quadro Geral'!$C$10:$E$26,3,FALSE)='Matriz Objetivos x Projetos'!$B21,"P",IF(OR(VLOOKUP('Matriz Objetivos x Projetos'!J$10,'Quadro Geral'!$C$10:$E$26,4,FALSE)='Matriz Objetivos x Projetos'!$B21,VLOOKUP('Matriz Objetivos x Projetos'!J$10,'Quadro Geral'!$C$10:$E$21,5,FALSE)='Matriz Objetivos x Projetos'!$B21),"S","")),"")</f>
        <v/>
      </c>
      <c r="K21" s="18" t="str">
        <f>IFERROR(IF(VLOOKUP(K$10,'Quadro Geral'!$C$10:$E$26,3,FALSE)='Matriz Objetivos x Projetos'!$B21,"P",IF(OR(VLOOKUP('Matriz Objetivos x Projetos'!K$10,'Quadro Geral'!$C$10:$E$26,4,FALSE)='Matriz Objetivos x Projetos'!$B21,VLOOKUP('Matriz Objetivos x Projetos'!K$10,'Quadro Geral'!$C$10:$E$21,5,FALSE)='Matriz Objetivos x Projetos'!$B21),"S","")),"")</f>
        <v/>
      </c>
      <c r="L21" s="18" t="str">
        <f>IFERROR(IF(VLOOKUP(L$10,'Quadro Geral'!$C$10:$E$26,3,FALSE)='Matriz Objetivos x Projetos'!$B21,"P",IF(OR(VLOOKUP('Matriz Objetivos x Projetos'!L$10,'Quadro Geral'!$C$10:$E$26,4,FALSE)='Matriz Objetivos x Projetos'!$B21,VLOOKUP('Matriz Objetivos x Projetos'!L$10,'Quadro Geral'!$C$10:$E$21,5,FALSE)='Matriz Objetivos x Projetos'!$B21),"S","")),"")</f>
        <v/>
      </c>
      <c r="M21" s="18" t="str">
        <f>IFERROR(IF(VLOOKUP(M$10,'Quadro Geral'!$C$10:$E$26,3,FALSE)='Matriz Objetivos x Projetos'!$B21,"P",IF(OR(VLOOKUP('Matriz Objetivos x Projetos'!M$10,'Quadro Geral'!$C$10:$E$26,4,FALSE)='Matriz Objetivos x Projetos'!$B21,VLOOKUP('Matriz Objetivos x Projetos'!M$10,'Quadro Geral'!$C$10:$E$21,5,FALSE)='Matriz Objetivos x Projetos'!$B21),"S","")),"")</f>
        <v/>
      </c>
      <c r="N21" s="18" t="str">
        <f>IFERROR(IF(VLOOKUP(N$10,'Quadro Geral'!$C$10:$E$26,3,FALSE)='Matriz Objetivos x Projetos'!$B21,"P",IF(OR(VLOOKUP('Matriz Objetivos x Projetos'!N$10,'Quadro Geral'!$C$10:$E$26,4,FALSE)='Matriz Objetivos x Projetos'!$B21,VLOOKUP('Matriz Objetivos x Projetos'!N$10,'Quadro Geral'!$C$10:$E$21,5,FALSE)='Matriz Objetivos x Projetos'!$B21),"S","")),"")</f>
        <v/>
      </c>
      <c r="O21" s="18" t="str">
        <f>IFERROR(IF(VLOOKUP(O$10,'Quadro Geral'!$C$10:$E$26,3,FALSE)='Matriz Objetivos x Projetos'!$B21,"P",IF(OR(VLOOKUP('Matriz Objetivos x Projetos'!O$10,'Quadro Geral'!$C$10:$E$26,4,FALSE)='Matriz Objetivos x Projetos'!$B21,VLOOKUP('Matriz Objetivos x Projetos'!O$10,'Quadro Geral'!$C$10:$E$21,5,FALSE)='Matriz Objetivos x Projetos'!$B21),"S","")),"")</f>
        <v/>
      </c>
      <c r="P21" s="18" t="str">
        <f>IFERROR(IF(VLOOKUP(P$10,'Quadro Geral'!$C$10:$E$26,3,FALSE)='Matriz Objetivos x Projetos'!$B21,"P",IF(OR(VLOOKUP('Matriz Objetivos x Projetos'!P$10,'Quadro Geral'!$C$10:$E$26,4,FALSE)='Matriz Objetivos x Projetos'!$B21,VLOOKUP('Matriz Objetivos x Projetos'!P$10,'Quadro Geral'!$C$10:$E$21,5,FALSE)='Matriz Objetivos x Projetos'!$B21),"S","")),"")</f>
        <v/>
      </c>
      <c r="Q21" s="18" t="str">
        <f>IFERROR(IF(VLOOKUP(Q$10,'Quadro Geral'!$C$10:$E$26,3,FALSE)='Matriz Objetivos x Projetos'!$B21,"P",IF(OR(VLOOKUP('Matriz Objetivos x Projetos'!Q$10,'Quadro Geral'!$C$10:$E$26,4,FALSE)='Matriz Objetivos x Projetos'!$B21,VLOOKUP('Matriz Objetivos x Projetos'!Q$10,'Quadro Geral'!$C$10:$E$21,5,FALSE)='Matriz Objetivos x Projetos'!$B21),"S","")),"")</f>
        <v/>
      </c>
      <c r="R21" s="18" t="str">
        <f>IFERROR(IF(VLOOKUP(R$10,'Quadro Geral'!$C$10:$E$26,3,FALSE)='Matriz Objetivos x Projetos'!$B21,"P",IF(OR(VLOOKUP('Matriz Objetivos x Projetos'!R$10,'Quadro Geral'!$C$10:$E$26,4,FALSE)='Matriz Objetivos x Projetos'!$B21,VLOOKUP('Matriz Objetivos x Projetos'!R$10,'Quadro Geral'!$C$10:$E$21,5,FALSE)='Matriz Objetivos x Projetos'!$B21),"S","")),"")</f>
        <v/>
      </c>
      <c r="S21" s="18" t="str">
        <f>IFERROR(IF(VLOOKUP(S$10,'Quadro Geral'!$C$10:$E$26,3,FALSE)='Matriz Objetivos x Projetos'!$B21,"P",IF(OR(VLOOKUP('Matriz Objetivos x Projetos'!S$10,'Quadro Geral'!$C$10:$E$26,4,FALSE)='Matriz Objetivos x Projetos'!$B21,VLOOKUP('Matriz Objetivos x Projetos'!S$10,'Quadro Geral'!$C$10:$E$21,5,FALSE)='Matriz Objetivos x Projetos'!$B21),"S","")),"")</f>
        <v/>
      </c>
      <c r="T21" s="18" t="str">
        <f>IFERROR(IF(VLOOKUP(T$10,'Quadro Geral'!$C$10:$E$26,3,FALSE)='Matriz Objetivos x Projetos'!$B21,"P",IF(OR(VLOOKUP('Matriz Objetivos x Projetos'!T$10,'Quadro Geral'!$C$10:$E$26,4,FALSE)='Matriz Objetivos x Projetos'!$B21,VLOOKUP('Matriz Objetivos x Projetos'!T$10,'Quadro Geral'!$C$10:$E$21,5,FALSE)='Matriz Objetivos x Projetos'!$B21),"S","")),"")</f>
        <v/>
      </c>
      <c r="U21" s="18" t="str">
        <f>IFERROR(IF(VLOOKUP(U$10,'Quadro Geral'!$C$10:$E$26,3,FALSE)='Matriz Objetivos x Projetos'!$B21,"P",IF(OR(VLOOKUP('Matriz Objetivos x Projetos'!U$10,'Quadro Geral'!$C$10:$E$26,4,FALSE)='Matriz Objetivos x Projetos'!$B21,VLOOKUP('Matriz Objetivos x Projetos'!U$10,'Quadro Geral'!$C$10:$E$21,5,FALSE)='Matriz Objetivos x Projetos'!$B21),"S","")),"")</f>
        <v/>
      </c>
      <c r="V21" s="18" t="str">
        <f>IFERROR(IF(VLOOKUP(V$10,'Quadro Geral'!$C$10:$E$26,3,FALSE)='Matriz Objetivos x Projetos'!$B21,"P",IF(OR(VLOOKUP('Matriz Objetivos x Projetos'!V$10,'Quadro Geral'!$C$10:$E$26,4,FALSE)='Matriz Objetivos x Projetos'!$B21,VLOOKUP('Matriz Objetivos x Projetos'!V$10,'Quadro Geral'!$C$10:$E$21,5,FALSE)='Matriz Objetivos x Projetos'!$B21),"S","")),"")</f>
        <v/>
      </c>
      <c r="W21" s="18" t="str">
        <f>IFERROR(IF(VLOOKUP(W$10,'Quadro Geral'!$C$10:$E$26,3,FALSE)='Matriz Objetivos x Projetos'!$B21,"P",IF(OR(VLOOKUP('Matriz Objetivos x Projetos'!W$10,'Quadro Geral'!$C$10:$E$26,4,FALSE)='Matriz Objetivos x Projetos'!$B21,VLOOKUP('Matriz Objetivos x Projetos'!W$10,'Quadro Geral'!$C$10:$E$21,5,FALSE)='Matriz Objetivos x Projetos'!$B21),"S","")),"")</f>
        <v/>
      </c>
      <c r="X21" s="16">
        <f t="shared" si="0"/>
        <v>0</v>
      </c>
      <c r="Y21" s="15" t="str">
        <f t="shared" si="1"/>
        <v>Processos Internos</v>
      </c>
    </row>
    <row r="22" spans="1:25" ht="63" customHeight="1">
      <c r="A22" s="82" t="s">
        <v>24</v>
      </c>
      <c r="B22" s="81" t="s">
        <v>25</v>
      </c>
      <c r="C22" s="18" t="str">
        <f>IFERROR(IF(VLOOKUP(C$10,'Quadro Geral'!$C$10:$E$26,3,FALSE)='Matriz Objetivos x Projetos'!$B22,"P",IF(OR(VLOOKUP('Matriz Objetivos x Projetos'!C$10,'Quadro Geral'!$C$10:$E$26,4,FALSE)='Matriz Objetivos x Projetos'!$B22,VLOOKUP('Matriz Objetivos x Projetos'!C$10,'Quadro Geral'!$C$10:$E$21,5,FALSE)='Matriz Objetivos x Projetos'!$B22),"S","")),"")</f>
        <v/>
      </c>
      <c r="D22" s="18" t="str">
        <f>IFERROR(IF(VLOOKUP(D$10,'Quadro Geral'!$C$10:$E$26,3,FALSE)='Matriz Objetivos x Projetos'!$B22,"P",IF(OR(VLOOKUP('Matriz Objetivos x Projetos'!D$10,'Quadro Geral'!$C$10:$E$26,4,FALSE)='Matriz Objetivos x Projetos'!$B22,VLOOKUP('Matriz Objetivos x Projetos'!D$10,'Quadro Geral'!$C$10:$E$21,5,FALSE)='Matriz Objetivos x Projetos'!$B22),"S","")),"")</f>
        <v/>
      </c>
      <c r="E22" s="18" t="str">
        <f>IFERROR(IF(VLOOKUP(E$10,'Quadro Geral'!$C$10:$E$26,3,FALSE)='Matriz Objetivos x Projetos'!$B22,"P",IF(OR(VLOOKUP('Matriz Objetivos x Projetos'!E$10,'Quadro Geral'!$C$10:$E$26,4,FALSE)='Matriz Objetivos x Projetos'!$B22,VLOOKUP('Matriz Objetivos x Projetos'!E$10,'Quadro Geral'!$C$10:$E$21,5,FALSE)='Matriz Objetivos x Projetos'!$B22),"S","")),"")</f>
        <v/>
      </c>
      <c r="F22" s="18" t="str">
        <f>IFERROR(IF(VLOOKUP(F$10,'Quadro Geral'!$C$10:$E$26,3,FALSE)='Matriz Objetivos x Projetos'!$B22,"P",IF(OR(VLOOKUP('Matriz Objetivos x Projetos'!F$10,'Quadro Geral'!$C$10:$E$26,4,FALSE)='Matriz Objetivos x Projetos'!$B22,VLOOKUP('Matriz Objetivos x Projetos'!F$10,'Quadro Geral'!$C$10:$E$21,5,FALSE)='Matriz Objetivos x Projetos'!$B22),"S","")),"")</f>
        <v/>
      </c>
      <c r="G22" s="18" t="str">
        <f>IFERROR(IF(VLOOKUP(G$10,'Quadro Geral'!$C$10:$E$26,3,FALSE)='Matriz Objetivos x Projetos'!$B22,"P",IF(OR(VLOOKUP('Matriz Objetivos x Projetos'!G$10,'Quadro Geral'!$C$10:$E$26,4,FALSE)='Matriz Objetivos x Projetos'!$B22,VLOOKUP('Matriz Objetivos x Projetos'!G$10,'Quadro Geral'!$C$10:$E$21,5,FALSE)='Matriz Objetivos x Projetos'!$B22),"S","")),"")</f>
        <v/>
      </c>
      <c r="H22" s="18" t="str">
        <f>IFERROR(IF(VLOOKUP(H$10,'Quadro Geral'!$C$10:$E$26,3,FALSE)='Matriz Objetivos x Projetos'!$B22,"P",IF(OR(VLOOKUP('Matriz Objetivos x Projetos'!H$10,'Quadro Geral'!$C$10:$E$26,4,FALSE)='Matriz Objetivos x Projetos'!$B22,VLOOKUP('Matriz Objetivos x Projetos'!H$10,'Quadro Geral'!$C$10:$E$21,5,FALSE)='Matriz Objetivos x Projetos'!$B22),"S","")),"")</f>
        <v/>
      </c>
      <c r="I22" s="18" t="str">
        <f>IFERROR(IF(VLOOKUP(I$10,'Quadro Geral'!$C$10:$E$26,3,FALSE)='Matriz Objetivos x Projetos'!$B22,"P",IF(OR(VLOOKUP('Matriz Objetivos x Projetos'!I$10,'Quadro Geral'!$C$10:$E$26,4,FALSE)='Matriz Objetivos x Projetos'!$B22,VLOOKUP('Matriz Objetivos x Projetos'!I$10,'Quadro Geral'!$C$10:$E$21,5,FALSE)='Matriz Objetivos x Projetos'!$B22),"S","")),"")</f>
        <v/>
      </c>
      <c r="J22" s="18" t="str">
        <f>IFERROR(IF(VLOOKUP(J$10,'Quadro Geral'!$C$10:$E$26,3,FALSE)='Matriz Objetivos x Projetos'!$B22,"P",IF(OR(VLOOKUP('Matriz Objetivos x Projetos'!J$10,'Quadro Geral'!$C$10:$E$26,4,FALSE)='Matriz Objetivos x Projetos'!$B22,VLOOKUP('Matriz Objetivos x Projetos'!J$10,'Quadro Geral'!$C$10:$E$21,5,FALSE)='Matriz Objetivos x Projetos'!$B22),"S","")),"")</f>
        <v/>
      </c>
      <c r="K22" s="18" t="str">
        <f>IFERROR(IF(VLOOKUP(K$10,'Quadro Geral'!$C$10:$E$26,3,FALSE)='Matriz Objetivos x Projetos'!$B22,"P",IF(OR(VLOOKUP('Matriz Objetivos x Projetos'!K$10,'Quadro Geral'!$C$10:$E$26,4,FALSE)='Matriz Objetivos x Projetos'!$B22,VLOOKUP('Matriz Objetivos x Projetos'!K$10,'Quadro Geral'!$C$10:$E$21,5,FALSE)='Matriz Objetivos x Projetos'!$B22),"S","")),"")</f>
        <v/>
      </c>
      <c r="L22" s="18" t="str">
        <f>IFERROR(IF(VLOOKUP(L$10,'Quadro Geral'!$C$10:$E$26,3,FALSE)='Matriz Objetivos x Projetos'!$B22,"P",IF(OR(VLOOKUP('Matriz Objetivos x Projetos'!L$10,'Quadro Geral'!$C$10:$E$26,4,FALSE)='Matriz Objetivos x Projetos'!$B22,VLOOKUP('Matriz Objetivos x Projetos'!L$10,'Quadro Geral'!$C$10:$E$21,5,FALSE)='Matriz Objetivos x Projetos'!$B22),"S","")),"")</f>
        <v/>
      </c>
      <c r="M22" s="18" t="str">
        <f>IFERROR(IF(VLOOKUP(M$10,'Quadro Geral'!$C$10:$E$26,3,FALSE)='Matriz Objetivos x Projetos'!$B22,"P",IF(OR(VLOOKUP('Matriz Objetivos x Projetos'!M$10,'Quadro Geral'!$C$10:$E$26,4,FALSE)='Matriz Objetivos x Projetos'!$B22,VLOOKUP('Matriz Objetivos x Projetos'!M$10,'Quadro Geral'!$C$10:$E$21,5,FALSE)='Matriz Objetivos x Projetos'!$B22),"S","")),"")</f>
        <v/>
      </c>
      <c r="N22" s="18" t="str">
        <f>IFERROR(IF(VLOOKUP(N$10,'Quadro Geral'!$C$10:$E$26,3,FALSE)='Matriz Objetivos x Projetos'!$B22,"P",IF(OR(VLOOKUP('Matriz Objetivos x Projetos'!N$10,'Quadro Geral'!$C$10:$E$26,4,FALSE)='Matriz Objetivos x Projetos'!$B22,VLOOKUP('Matriz Objetivos x Projetos'!N$10,'Quadro Geral'!$C$10:$E$21,5,FALSE)='Matriz Objetivos x Projetos'!$B22),"S","")),"")</f>
        <v/>
      </c>
      <c r="O22" s="18" t="str">
        <f>IFERROR(IF(VLOOKUP(O$10,'Quadro Geral'!$C$10:$E$26,3,FALSE)='Matriz Objetivos x Projetos'!$B22,"P",IF(OR(VLOOKUP('Matriz Objetivos x Projetos'!O$10,'Quadro Geral'!$C$10:$E$26,4,FALSE)='Matriz Objetivos x Projetos'!$B22,VLOOKUP('Matriz Objetivos x Projetos'!O$10,'Quadro Geral'!$C$10:$E$21,5,FALSE)='Matriz Objetivos x Projetos'!$B22),"S","")),"")</f>
        <v/>
      </c>
      <c r="P22" s="18" t="str">
        <f>IFERROR(IF(VLOOKUP(P$10,'Quadro Geral'!$C$10:$E$26,3,FALSE)='Matriz Objetivos x Projetos'!$B22,"P",IF(OR(VLOOKUP('Matriz Objetivos x Projetos'!P$10,'Quadro Geral'!$C$10:$E$26,4,FALSE)='Matriz Objetivos x Projetos'!$B22,VLOOKUP('Matriz Objetivos x Projetos'!P$10,'Quadro Geral'!$C$10:$E$21,5,FALSE)='Matriz Objetivos x Projetos'!$B22),"S","")),"")</f>
        <v/>
      </c>
      <c r="Q22" s="18" t="str">
        <f>IFERROR(IF(VLOOKUP(Q$10,'Quadro Geral'!$C$10:$E$26,3,FALSE)='Matriz Objetivos x Projetos'!$B22,"P",IF(OR(VLOOKUP('Matriz Objetivos x Projetos'!Q$10,'Quadro Geral'!$C$10:$E$26,4,FALSE)='Matriz Objetivos x Projetos'!$B22,VLOOKUP('Matriz Objetivos x Projetos'!Q$10,'Quadro Geral'!$C$10:$E$21,5,FALSE)='Matriz Objetivos x Projetos'!$B22),"S","")),"")</f>
        <v/>
      </c>
      <c r="R22" s="18" t="str">
        <f>IFERROR(IF(VLOOKUP(R$10,'Quadro Geral'!$C$10:$E$26,3,FALSE)='Matriz Objetivos x Projetos'!$B22,"P",IF(OR(VLOOKUP('Matriz Objetivos x Projetos'!R$10,'Quadro Geral'!$C$10:$E$26,4,FALSE)='Matriz Objetivos x Projetos'!$B22,VLOOKUP('Matriz Objetivos x Projetos'!R$10,'Quadro Geral'!$C$10:$E$21,5,FALSE)='Matriz Objetivos x Projetos'!$B22),"S","")),"")</f>
        <v/>
      </c>
      <c r="S22" s="18" t="str">
        <f>IFERROR(IF(VLOOKUP(S$10,'Quadro Geral'!$C$10:$E$26,3,FALSE)='Matriz Objetivos x Projetos'!$B22,"P",IF(OR(VLOOKUP('Matriz Objetivos x Projetos'!S$10,'Quadro Geral'!$C$10:$E$26,4,FALSE)='Matriz Objetivos x Projetos'!$B22,VLOOKUP('Matriz Objetivos x Projetos'!S$10,'Quadro Geral'!$C$10:$E$21,5,FALSE)='Matriz Objetivos x Projetos'!$B22),"S","")),"")</f>
        <v/>
      </c>
      <c r="T22" s="18" t="str">
        <f>IFERROR(IF(VLOOKUP(T$10,'Quadro Geral'!$C$10:$E$26,3,FALSE)='Matriz Objetivos x Projetos'!$B22,"P",IF(OR(VLOOKUP('Matriz Objetivos x Projetos'!T$10,'Quadro Geral'!$C$10:$E$26,4,FALSE)='Matriz Objetivos x Projetos'!$B22,VLOOKUP('Matriz Objetivos x Projetos'!T$10,'Quadro Geral'!$C$10:$E$21,5,FALSE)='Matriz Objetivos x Projetos'!$B22),"S","")),"")</f>
        <v/>
      </c>
      <c r="U22" s="18" t="str">
        <f>IFERROR(IF(VLOOKUP(U$10,'Quadro Geral'!$C$10:$E$26,3,FALSE)='Matriz Objetivos x Projetos'!$B22,"P",IF(OR(VLOOKUP('Matriz Objetivos x Projetos'!U$10,'Quadro Geral'!$C$10:$E$26,4,FALSE)='Matriz Objetivos x Projetos'!$B22,VLOOKUP('Matriz Objetivos x Projetos'!U$10,'Quadro Geral'!$C$10:$E$21,5,FALSE)='Matriz Objetivos x Projetos'!$B22),"S","")),"")</f>
        <v/>
      </c>
      <c r="V22" s="18" t="str">
        <f>IFERROR(IF(VLOOKUP(V$10,'Quadro Geral'!$C$10:$E$26,3,FALSE)='Matriz Objetivos x Projetos'!$B22,"P",IF(OR(VLOOKUP('Matriz Objetivos x Projetos'!V$10,'Quadro Geral'!$C$10:$E$26,4,FALSE)='Matriz Objetivos x Projetos'!$B22,VLOOKUP('Matriz Objetivos x Projetos'!V$10,'Quadro Geral'!$C$10:$E$21,5,FALSE)='Matriz Objetivos x Projetos'!$B22),"S","")),"")</f>
        <v/>
      </c>
      <c r="W22" s="18" t="str">
        <f>IFERROR(IF(VLOOKUP(W$10,'Quadro Geral'!$C$10:$E$26,3,FALSE)='Matriz Objetivos x Projetos'!$B22,"P",IF(OR(VLOOKUP('Matriz Objetivos x Projetos'!W$10,'Quadro Geral'!$C$10:$E$26,4,FALSE)='Matriz Objetivos x Projetos'!$B22,VLOOKUP('Matriz Objetivos x Projetos'!W$10,'Quadro Geral'!$C$10:$E$21,5,FALSE)='Matriz Objetivos x Projetos'!$B22),"S","")),"")</f>
        <v/>
      </c>
      <c r="X22" s="16">
        <f t="shared" si="0"/>
        <v>0</v>
      </c>
      <c r="Y22" s="15" t="str">
        <f t="shared" si="1"/>
        <v>Pessoas e Infraestrutura</v>
      </c>
    </row>
    <row r="23" spans="1:25" ht="63" customHeight="1">
      <c r="A23" s="83"/>
      <c r="B23" s="81" t="s">
        <v>26</v>
      </c>
      <c r="C23" s="18" t="str">
        <f>IFERROR(IF(VLOOKUP(C$10,'Quadro Geral'!$C$10:$E$26,3,FALSE)='Matriz Objetivos x Projetos'!$B23,"P",IF(OR(VLOOKUP('Matriz Objetivos x Projetos'!C$10,'Quadro Geral'!$C$10:$E$26,4,FALSE)='Matriz Objetivos x Projetos'!$B23,VLOOKUP('Matriz Objetivos x Projetos'!C$10,'Quadro Geral'!$C$10:$E$21,5,FALSE)='Matriz Objetivos x Projetos'!$B23),"S","")),"")</f>
        <v/>
      </c>
      <c r="D23" s="18" t="str">
        <f>IFERROR(IF(VLOOKUP(D$10,'Quadro Geral'!$C$10:$E$26,3,FALSE)='Matriz Objetivos x Projetos'!$B23,"P",IF(OR(VLOOKUP('Matriz Objetivos x Projetos'!D$10,'Quadro Geral'!$C$10:$E$26,4,FALSE)='Matriz Objetivos x Projetos'!$B23,VLOOKUP('Matriz Objetivos x Projetos'!D$10,'Quadro Geral'!$C$10:$E$21,5,FALSE)='Matriz Objetivos x Projetos'!$B23),"S","")),"")</f>
        <v/>
      </c>
      <c r="E23" s="18" t="str">
        <f>IFERROR(IF(VLOOKUP(E$10,'Quadro Geral'!$C$10:$E$26,3,FALSE)='Matriz Objetivos x Projetos'!$B23,"P",IF(OR(VLOOKUP('Matriz Objetivos x Projetos'!E$10,'Quadro Geral'!$C$10:$E$26,4,FALSE)='Matriz Objetivos x Projetos'!$B23,VLOOKUP('Matriz Objetivos x Projetos'!E$10,'Quadro Geral'!$C$10:$E$21,5,FALSE)='Matriz Objetivos x Projetos'!$B23),"S","")),"")</f>
        <v/>
      </c>
      <c r="F23" s="18" t="str">
        <f>IFERROR(IF(VLOOKUP(F$10,'Quadro Geral'!$C$10:$E$26,3,FALSE)='Matriz Objetivos x Projetos'!$B23,"P",IF(OR(VLOOKUP('Matriz Objetivos x Projetos'!F$10,'Quadro Geral'!$C$10:$E$26,4,FALSE)='Matriz Objetivos x Projetos'!$B23,VLOOKUP('Matriz Objetivos x Projetos'!F$10,'Quadro Geral'!$C$10:$E$21,5,FALSE)='Matriz Objetivos x Projetos'!$B23),"S","")),"")</f>
        <v/>
      </c>
      <c r="G23" s="18" t="str">
        <f>IFERROR(IF(VLOOKUP(G$10,'Quadro Geral'!$C$10:$E$26,3,FALSE)='Matriz Objetivos x Projetos'!$B23,"P",IF(OR(VLOOKUP('Matriz Objetivos x Projetos'!G$10,'Quadro Geral'!$C$10:$E$26,4,FALSE)='Matriz Objetivos x Projetos'!$B23,VLOOKUP('Matriz Objetivos x Projetos'!G$10,'Quadro Geral'!$C$10:$E$21,5,FALSE)='Matriz Objetivos x Projetos'!$B23),"S","")),"")</f>
        <v/>
      </c>
      <c r="H23" s="18" t="str">
        <f>IFERROR(IF(VLOOKUP(H$10,'Quadro Geral'!$C$10:$E$26,3,FALSE)='Matriz Objetivos x Projetos'!$B23,"P",IF(OR(VLOOKUP('Matriz Objetivos x Projetos'!H$10,'Quadro Geral'!$C$10:$E$26,4,FALSE)='Matriz Objetivos x Projetos'!$B23,VLOOKUP('Matriz Objetivos x Projetos'!H$10,'Quadro Geral'!$C$10:$E$21,5,FALSE)='Matriz Objetivos x Projetos'!$B23),"S","")),"")</f>
        <v/>
      </c>
      <c r="I23" s="18" t="str">
        <f>IFERROR(IF(VLOOKUP(I$10,'Quadro Geral'!$C$10:$E$26,3,FALSE)='Matriz Objetivos x Projetos'!$B23,"P",IF(OR(VLOOKUP('Matriz Objetivos x Projetos'!I$10,'Quadro Geral'!$C$10:$E$26,4,FALSE)='Matriz Objetivos x Projetos'!$B23,VLOOKUP('Matriz Objetivos x Projetos'!I$10,'Quadro Geral'!$C$10:$E$21,5,FALSE)='Matriz Objetivos x Projetos'!$B23),"S","")),"")</f>
        <v/>
      </c>
      <c r="J23" s="18" t="str">
        <f>IFERROR(IF(VLOOKUP(J$10,'Quadro Geral'!$C$10:$E$26,3,FALSE)='Matriz Objetivos x Projetos'!$B23,"P",IF(OR(VLOOKUP('Matriz Objetivos x Projetos'!J$10,'Quadro Geral'!$C$10:$E$26,4,FALSE)='Matriz Objetivos x Projetos'!$B23,VLOOKUP('Matriz Objetivos x Projetos'!J$10,'Quadro Geral'!$C$10:$E$21,5,FALSE)='Matriz Objetivos x Projetos'!$B23),"S","")),"")</f>
        <v/>
      </c>
      <c r="K23" s="18" t="str">
        <f>IFERROR(IF(VLOOKUP(K$10,'Quadro Geral'!$C$10:$E$26,3,FALSE)='Matriz Objetivos x Projetos'!$B23,"P",IF(OR(VLOOKUP('Matriz Objetivos x Projetos'!K$10,'Quadro Geral'!$C$10:$E$26,4,FALSE)='Matriz Objetivos x Projetos'!$B23,VLOOKUP('Matriz Objetivos x Projetos'!K$10,'Quadro Geral'!$C$10:$E$21,5,FALSE)='Matriz Objetivos x Projetos'!$B23),"S","")),"")</f>
        <v/>
      </c>
      <c r="L23" s="18" t="str">
        <f>IFERROR(IF(VLOOKUP(L$10,'Quadro Geral'!$C$10:$E$26,3,FALSE)='Matriz Objetivos x Projetos'!$B23,"P",IF(OR(VLOOKUP('Matriz Objetivos x Projetos'!L$10,'Quadro Geral'!$C$10:$E$26,4,FALSE)='Matriz Objetivos x Projetos'!$B23,VLOOKUP('Matriz Objetivos x Projetos'!L$10,'Quadro Geral'!$C$10:$E$21,5,FALSE)='Matriz Objetivos x Projetos'!$B23),"S","")),"")</f>
        <v/>
      </c>
      <c r="M23" s="18" t="str">
        <f>IFERROR(IF(VLOOKUP(M$10,'Quadro Geral'!$C$10:$E$26,3,FALSE)='Matriz Objetivos x Projetos'!$B23,"P",IF(OR(VLOOKUP('Matriz Objetivos x Projetos'!M$10,'Quadro Geral'!$C$10:$E$26,4,FALSE)='Matriz Objetivos x Projetos'!$B23,VLOOKUP('Matriz Objetivos x Projetos'!M$10,'Quadro Geral'!$C$10:$E$21,5,FALSE)='Matriz Objetivos x Projetos'!$B23),"S","")),"")</f>
        <v/>
      </c>
      <c r="N23" s="18" t="str">
        <f>IFERROR(IF(VLOOKUP(N$10,'Quadro Geral'!$C$10:$E$26,3,FALSE)='Matriz Objetivos x Projetos'!$B23,"P",IF(OR(VLOOKUP('Matriz Objetivos x Projetos'!N$10,'Quadro Geral'!$C$10:$E$26,4,FALSE)='Matriz Objetivos x Projetos'!$B23,VLOOKUP('Matriz Objetivos x Projetos'!N$10,'Quadro Geral'!$C$10:$E$21,5,FALSE)='Matriz Objetivos x Projetos'!$B23),"S","")),"")</f>
        <v/>
      </c>
      <c r="O23" s="18" t="str">
        <f>IFERROR(IF(VLOOKUP(O$10,'Quadro Geral'!$C$10:$E$26,3,FALSE)='Matriz Objetivos x Projetos'!$B23,"P",IF(OR(VLOOKUP('Matriz Objetivos x Projetos'!O$10,'Quadro Geral'!$C$10:$E$26,4,FALSE)='Matriz Objetivos x Projetos'!$B23,VLOOKUP('Matriz Objetivos x Projetos'!O$10,'Quadro Geral'!$C$10:$E$21,5,FALSE)='Matriz Objetivos x Projetos'!$B23),"S","")),"")</f>
        <v/>
      </c>
      <c r="P23" s="18" t="str">
        <f>IFERROR(IF(VLOOKUP(P$10,'Quadro Geral'!$C$10:$E$26,3,FALSE)='Matriz Objetivos x Projetos'!$B23,"P",IF(OR(VLOOKUP('Matriz Objetivos x Projetos'!P$10,'Quadro Geral'!$C$10:$E$26,4,FALSE)='Matriz Objetivos x Projetos'!$B23,VLOOKUP('Matriz Objetivos x Projetos'!P$10,'Quadro Geral'!$C$10:$E$21,5,FALSE)='Matriz Objetivos x Projetos'!$B23),"S","")),"")</f>
        <v/>
      </c>
      <c r="Q23" s="18" t="str">
        <f>IFERROR(IF(VLOOKUP(Q$10,'Quadro Geral'!$C$10:$E$26,3,FALSE)='Matriz Objetivos x Projetos'!$B23,"P",IF(OR(VLOOKUP('Matriz Objetivos x Projetos'!Q$10,'Quadro Geral'!$C$10:$E$26,4,FALSE)='Matriz Objetivos x Projetos'!$B23,VLOOKUP('Matriz Objetivos x Projetos'!Q$10,'Quadro Geral'!$C$10:$E$21,5,FALSE)='Matriz Objetivos x Projetos'!$B23),"S","")),"")</f>
        <v/>
      </c>
      <c r="R23" s="18" t="str">
        <f>IFERROR(IF(VLOOKUP(R$10,'Quadro Geral'!$C$10:$E$26,3,FALSE)='Matriz Objetivos x Projetos'!$B23,"P",IF(OR(VLOOKUP('Matriz Objetivos x Projetos'!R$10,'Quadro Geral'!$C$10:$E$26,4,FALSE)='Matriz Objetivos x Projetos'!$B23,VLOOKUP('Matriz Objetivos x Projetos'!R$10,'Quadro Geral'!$C$10:$E$21,5,FALSE)='Matriz Objetivos x Projetos'!$B23),"S","")),"")</f>
        <v/>
      </c>
      <c r="S23" s="18" t="str">
        <f>IFERROR(IF(VLOOKUP(S$10,'Quadro Geral'!$C$10:$E$26,3,FALSE)='Matriz Objetivos x Projetos'!$B23,"P",IF(OR(VLOOKUP('Matriz Objetivos x Projetos'!S$10,'Quadro Geral'!$C$10:$E$26,4,FALSE)='Matriz Objetivos x Projetos'!$B23,VLOOKUP('Matriz Objetivos x Projetos'!S$10,'Quadro Geral'!$C$10:$E$21,5,FALSE)='Matriz Objetivos x Projetos'!$B23),"S","")),"")</f>
        <v/>
      </c>
      <c r="T23" s="18" t="str">
        <f>IFERROR(IF(VLOOKUP(T$10,'Quadro Geral'!$C$10:$E$26,3,FALSE)='Matriz Objetivos x Projetos'!$B23,"P",IF(OR(VLOOKUP('Matriz Objetivos x Projetos'!T$10,'Quadro Geral'!$C$10:$E$26,4,FALSE)='Matriz Objetivos x Projetos'!$B23,VLOOKUP('Matriz Objetivos x Projetos'!T$10,'Quadro Geral'!$C$10:$E$21,5,FALSE)='Matriz Objetivos x Projetos'!$B23),"S","")),"")</f>
        <v/>
      </c>
      <c r="U23" s="18" t="str">
        <f>IFERROR(IF(VLOOKUP(U$10,'Quadro Geral'!$C$10:$E$26,3,FALSE)='Matriz Objetivos x Projetos'!$B23,"P",IF(OR(VLOOKUP('Matriz Objetivos x Projetos'!U$10,'Quadro Geral'!$C$10:$E$26,4,FALSE)='Matriz Objetivos x Projetos'!$B23,VLOOKUP('Matriz Objetivos x Projetos'!U$10,'Quadro Geral'!$C$10:$E$21,5,FALSE)='Matriz Objetivos x Projetos'!$B23),"S","")),"")</f>
        <v/>
      </c>
      <c r="V23" s="18" t="str">
        <f>IFERROR(IF(VLOOKUP(V$10,'Quadro Geral'!$C$10:$E$26,3,FALSE)='Matriz Objetivos x Projetos'!$B23,"P",IF(OR(VLOOKUP('Matriz Objetivos x Projetos'!V$10,'Quadro Geral'!$C$10:$E$26,4,FALSE)='Matriz Objetivos x Projetos'!$B23,VLOOKUP('Matriz Objetivos x Projetos'!V$10,'Quadro Geral'!$C$10:$E$21,5,FALSE)='Matriz Objetivos x Projetos'!$B23),"S","")),"")</f>
        <v/>
      </c>
      <c r="W23" s="18" t="str">
        <f>IFERROR(IF(VLOOKUP(W$10,'Quadro Geral'!$C$10:$E$26,3,FALSE)='Matriz Objetivos x Projetos'!$B23,"P",IF(OR(VLOOKUP('Matriz Objetivos x Projetos'!W$10,'Quadro Geral'!$C$10:$E$26,4,FALSE)='Matriz Objetivos x Projetos'!$B23,VLOOKUP('Matriz Objetivos x Projetos'!W$10,'Quadro Geral'!$C$10:$E$21,5,FALSE)='Matriz Objetivos x Projetos'!$B23),"S","")),"")</f>
        <v/>
      </c>
      <c r="X23" s="16">
        <f t="shared" si="0"/>
        <v>0</v>
      </c>
      <c r="Y23" s="15" t="str">
        <f t="shared" si="1"/>
        <v>Pessoas e Infraestrutura</v>
      </c>
    </row>
    <row r="24" spans="1:25" ht="63" customHeight="1">
      <c r="A24" s="84"/>
      <c r="B24" s="81" t="s">
        <v>27</v>
      </c>
      <c r="C24" s="18" t="str">
        <f>IFERROR(IF(VLOOKUP(C$10,'Quadro Geral'!$C$10:$E$26,3,FALSE)='Matriz Objetivos x Projetos'!$B24,"P",IF(OR(VLOOKUP('Matriz Objetivos x Projetos'!C$10,'Quadro Geral'!$C$10:$E$26,4,FALSE)='Matriz Objetivos x Projetos'!$B24,VLOOKUP('Matriz Objetivos x Projetos'!C$10,'Quadro Geral'!$C$10:$E$21,5,FALSE)='Matriz Objetivos x Projetos'!$B24),"S","")),"")</f>
        <v/>
      </c>
      <c r="D24" s="18" t="str">
        <f>IFERROR(IF(VLOOKUP(D$10,'Quadro Geral'!$C$10:$E$26,3,FALSE)='Matriz Objetivos x Projetos'!$B24,"P",IF(OR(VLOOKUP('Matriz Objetivos x Projetos'!D$10,'Quadro Geral'!$C$10:$E$26,4,FALSE)='Matriz Objetivos x Projetos'!$B24,VLOOKUP('Matriz Objetivos x Projetos'!D$10,'Quadro Geral'!$C$10:$E$21,5,FALSE)='Matriz Objetivos x Projetos'!$B24),"S","")),"")</f>
        <v/>
      </c>
      <c r="E24" s="18" t="str">
        <f>IFERROR(IF(VLOOKUP(E$10,'Quadro Geral'!$C$10:$E$26,3,FALSE)='Matriz Objetivos x Projetos'!$B24,"P",IF(OR(VLOOKUP('Matriz Objetivos x Projetos'!E$10,'Quadro Geral'!$C$10:$E$26,4,FALSE)='Matriz Objetivos x Projetos'!$B24,VLOOKUP('Matriz Objetivos x Projetos'!E$10,'Quadro Geral'!$C$10:$E$21,5,FALSE)='Matriz Objetivos x Projetos'!$B24),"S","")),"")</f>
        <v/>
      </c>
      <c r="F24" s="18" t="str">
        <f>IFERROR(IF(VLOOKUP(F$10,'Quadro Geral'!$C$10:$E$26,3,FALSE)='Matriz Objetivos x Projetos'!$B24,"P",IF(OR(VLOOKUP('Matriz Objetivos x Projetos'!F$10,'Quadro Geral'!$C$10:$E$26,4,FALSE)='Matriz Objetivos x Projetos'!$B24,VLOOKUP('Matriz Objetivos x Projetos'!F$10,'Quadro Geral'!$C$10:$E$21,5,FALSE)='Matriz Objetivos x Projetos'!$B24),"S","")),"")</f>
        <v/>
      </c>
      <c r="G24" s="18" t="str">
        <f>IFERROR(IF(VLOOKUP(G$10,'Quadro Geral'!$C$10:$E$26,3,FALSE)='Matriz Objetivos x Projetos'!$B24,"P",IF(OR(VLOOKUP('Matriz Objetivos x Projetos'!G$10,'Quadro Geral'!$C$10:$E$26,4,FALSE)='Matriz Objetivos x Projetos'!$B24,VLOOKUP('Matriz Objetivos x Projetos'!G$10,'Quadro Geral'!$C$10:$E$21,5,FALSE)='Matriz Objetivos x Projetos'!$B24),"S","")),"")</f>
        <v/>
      </c>
      <c r="H24" s="18" t="str">
        <f>IFERROR(IF(VLOOKUP(H$10,'Quadro Geral'!$C$10:$E$26,3,FALSE)='Matriz Objetivos x Projetos'!$B24,"P",IF(OR(VLOOKUP('Matriz Objetivos x Projetos'!H$10,'Quadro Geral'!$C$10:$E$26,4,FALSE)='Matriz Objetivos x Projetos'!$B24,VLOOKUP('Matriz Objetivos x Projetos'!H$10,'Quadro Geral'!$C$10:$E$21,5,FALSE)='Matriz Objetivos x Projetos'!$B24),"S","")),"")</f>
        <v/>
      </c>
      <c r="I24" s="18" t="str">
        <f>IFERROR(IF(VLOOKUP(I$10,'Quadro Geral'!$C$10:$E$26,3,FALSE)='Matriz Objetivos x Projetos'!$B24,"P",IF(OR(VLOOKUP('Matriz Objetivos x Projetos'!I$10,'Quadro Geral'!$C$10:$E$26,4,FALSE)='Matriz Objetivos x Projetos'!$B24,VLOOKUP('Matriz Objetivos x Projetos'!I$10,'Quadro Geral'!$C$10:$E$21,5,FALSE)='Matriz Objetivos x Projetos'!$B24),"S","")),"")</f>
        <v/>
      </c>
      <c r="J24" s="18" t="str">
        <f>IFERROR(IF(VLOOKUP(J$10,'Quadro Geral'!$C$10:$E$26,3,FALSE)='Matriz Objetivos x Projetos'!$B24,"P",IF(OR(VLOOKUP('Matriz Objetivos x Projetos'!J$10,'Quadro Geral'!$C$10:$E$26,4,FALSE)='Matriz Objetivos x Projetos'!$B24,VLOOKUP('Matriz Objetivos x Projetos'!J$10,'Quadro Geral'!$C$10:$E$21,5,FALSE)='Matriz Objetivos x Projetos'!$B24),"S","")),"")</f>
        <v/>
      </c>
      <c r="K24" s="18" t="str">
        <f>IFERROR(IF(VLOOKUP(K$10,'Quadro Geral'!$C$10:$E$26,3,FALSE)='Matriz Objetivos x Projetos'!$B24,"P",IF(OR(VLOOKUP('Matriz Objetivos x Projetos'!K$10,'Quadro Geral'!$C$10:$E$26,4,FALSE)='Matriz Objetivos x Projetos'!$B24,VLOOKUP('Matriz Objetivos x Projetos'!K$10,'Quadro Geral'!$C$10:$E$21,5,FALSE)='Matriz Objetivos x Projetos'!$B24),"S","")),"")</f>
        <v/>
      </c>
      <c r="L24" s="18" t="str">
        <f>IFERROR(IF(VLOOKUP(L$10,'Quadro Geral'!$C$10:$E$26,3,FALSE)='Matriz Objetivos x Projetos'!$B24,"P",IF(OR(VLOOKUP('Matriz Objetivos x Projetos'!L$10,'Quadro Geral'!$C$10:$E$26,4,FALSE)='Matriz Objetivos x Projetos'!$B24,VLOOKUP('Matriz Objetivos x Projetos'!L$10,'Quadro Geral'!$C$10:$E$21,5,FALSE)='Matriz Objetivos x Projetos'!$B24),"S","")),"")</f>
        <v/>
      </c>
      <c r="M24" s="18" t="str">
        <f>IFERROR(IF(VLOOKUP(M$10,'Quadro Geral'!$C$10:$E$26,3,FALSE)='Matriz Objetivos x Projetos'!$B24,"P",IF(OR(VLOOKUP('Matriz Objetivos x Projetos'!M$10,'Quadro Geral'!$C$10:$E$26,4,FALSE)='Matriz Objetivos x Projetos'!$B24,VLOOKUP('Matriz Objetivos x Projetos'!M$10,'Quadro Geral'!$C$10:$E$21,5,FALSE)='Matriz Objetivos x Projetos'!$B24),"S","")),"")</f>
        <v/>
      </c>
      <c r="N24" s="18" t="str">
        <f>IFERROR(IF(VLOOKUP(N$10,'Quadro Geral'!$C$10:$E$26,3,FALSE)='Matriz Objetivos x Projetos'!$B24,"P",IF(OR(VLOOKUP('Matriz Objetivos x Projetos'!N$10,'Quadro Geral'!$C$10:$E$26,4,FALSE)='Matriz Objetivos x Projetos'!$B24,VLOOKUP('Matriz Objetivos x Projetos'!N$10,'Quadro Geral'!$C$10:$E$21,5,FALSE)='Matriz Objetivos x Projetos'!$B24),"S","")),"")</f>
        <v/>
      </c>
      <c r="O24" s="18" t="str">
        <f>IFERROR(IF(VLOOKUP(O$10,'Quadro Geral'!$C$10:$E$26,3,FALSE)='Matriz Objetivos x Projetos'!$B24,"P",IF(OR(VLOOKUP('Matriz Objetivos x Projetos'!O$10,'Quadro Geral'!$C$10:$E$26,4,FALSE)='Matriz Objetivos x Projetos'!$B24,VLOOKUP('Matriz Objetivos x Projetos'!O$10,'Quadro Geral'!$C$10:$E$21,5,FALSE)='Matriz Objetivos x Projetos'!$B24),"S","")),"")</f>
        <v/>
      </c>
      <c r="P24" s="18" t="str">
        <f>IFERROR(IF(VLOOKUP(P$10,'Quadro Geral'!$C$10:$E$26,3,FALSE)='Matriz Objetivos x Projetos'!$B24,"P",IF(OR(VLOOKUP('Matriz Objetivos x Projetos'!P$10,'Quadro Geral'!$C$10:$E$26,4,FALSE)='Matriz Objetivos x Projetos'!$B24,VLOOKUP('Matriz Objetivos x Projetos'!P$10,'Quadro Geral'!$C$10:$E$21,5,FALSE)='Matriz Objetivos x Projetos'!$B24),"S","")),"")</f>
        <v/>
      </c>
      <c r="Q24" s="18" t="str">
        <f>IFERROR(IF(VLOOKUP(Q$10,'Quadro Geral'!$C$10:$E$26,3,FALSE)='Matriz Objetivos x Projetos'!$B24,"P",IF(OR(VLOOKUP('Matriz Objetivos x Projetos'!Q$10,'Quadro Geral'!$C$10:$E$26,4,FALSE)='Matriz Objetivos x Projetos'!$B24,VLOOKUP('Matriz Objetivos x Projetos'!Q$10,'Quadro Geral'!$C$10:$E$21,5,FALSE)='Matriz Objetivos x Projetos'!$B24),"S","")),"")</f>
        <v/>
      </c>
      <c r="R24" s="18" t="str">
        <f>IFERROR(IF(VLOOKUP(R$10,'Quadro Geral'!$C$10:$E$26,3,FALSE)='Matriz Objetivos x Projetos'!$B24,"P",IF(OR(VLOOKUP('Matriz Objetivos x Projetos'!R$10,'Quadro Geral'!$C$10:$E$26,4,FALSE)='Matriz Objetivos x Projetos'!$B24,VLOOKUP('Matriz Objetivos x Projetos'!R$10,'Quadro Geral'!$C$10:$E$21,5,FALSE)='Matriz Objetivos x Projetos'!$B24),"S","")),"")</f>
        <v/>
      </c>
      <c r="S24" s="18" t="str">
        <f>IFERROR(IF(VLOOKUP(S$10,'Quadro Geral'!$C$10:$E$26,3,FALSE)='Matriz Objetivos x Projetos'!$B24,"P",IF(OR(VLOOKUP('Matriz Objetivos x Projetos'!S$10,'Quadro Geral'!$C$10:$E$26,4,FALSE)='Matriz Objetivos x Projetos'!$B24,VLOOKUP('Matriz Objetivos x Projetos'!S$10,'Quadro Geral'!$C$10:$E$21,5,FALSE)='Matriz Objetivos x Projetos'!$B24),"S","")),"")</f>
        <v/>
      </c>
      <c r="T24" s="18" t="str">
        <f>IFERROR(IF(VLOOKUP(T$10,'Quadro Geral'!$C$10:$E$26,3,FALSE)='Matriz Objetivos x Projetos'!$B24,"P",IF(OR(VLOOKUP('Matriz Objetivos x Projetos'!T$10,'Quadro Geral'!$C$10:$E$26,4,FALSE)='Matriz Objetivos x Projetos'!$B24,VLOOKUP('Matriz Objetivos x Projetos'!T$10,'Quadro Geral'!$C$10:$E$21,5,FALSE)='Matriz Objetivos x Projetos'!$B24),"S","")),"")</f>
        <v/>
      </c>
      <c r="U24" s="18" t="str">
        <f>IFERROR(IF(VLOOKUP(U$10,'Quadro Geral'!$C$10:$E$26,3,FALSE)='Matriz Objetivos x Projetos'!$B24,"P",IF(OR(VLOOKUP('Matriz Objetivos x Projetos'!U$10,'Quadro Geral'!$C$10:$E$26,4,FALSE)='Matriz Objetivos x Projetos'!$B24,VLOOKUP('Matriz Objetivos x Projetos'!U$10,'Quadro Geral'!$C$10:$E$21,5,FALSE)='Matriz Objetivos x Projetos'!$B24),"S","")),"")</f>
        <v/>
      </c>
      <c r="V24" s="18" t="str">
        <f>IFERROR(IF(VLOOKUP(V$10,'Quadro Geral'!$C$10:$E$26,3,FALSE)='Matriz Objetivos x Projetos'!$B24,"P",IF(OR(VLOOKUP('Matriz Objetivos x Projetos'!V$10,'Quadro Geral'!$C$10:$E$26,4,FALSE)='Matriz Objetivos x Projetos'!$B24,VLOOKUP('Matriz Objetivos x Projetos'!V$10,'Quadro Geral'!$C$10:$E$21,5,FALSE)='Matriz Objetivos x Projetos'!$B24),"S","")),"")</f>
        <v/>
      </c>
      <c r="W24" s="18" t="str">
        <f>IFERROR(IF(VLOOKUP(W$10,'Quadro Geral'!$C$10:$E$26,3,FALSE)='Matriz Objetivos x Projetos'!$B24,"P",IF(OR(VLOOKUP('Matriz Objetivos x Projetos'!W$10,'Quadro Geral'!$C$10:$E$26,4,FALSE)='Matriz Objetivos x Projetos'!$B24,VLOOKUP('Matriz Objetivos x Projetos'!W$10,'Quadro Geral'!$C$10:$E$21,5,FALSE)='Matriz Objetivos x Projetos'!$B24),"S","")),"")</f>
        <v/>
      </c>
      <c r="X24" s="16">
        <f t="shared" si="0"/>
        <v>0</v>
      </c>
      <c r="Y24" s="15" t="str">
        <f t="shared" si="1"/>
        <v>Pessoas e Infraestrutura</v>
      </c>
    </row>
    <row r="25" spans="1:25">
      <c r="C25" s="16">
        <f t="shared" ref="C25:W25" si="2">COUNTIF(C11:C24,"x")</f>
        <v>0</v>
      </c>
      <c r="D25" s="16">
        <f t="shared" si="2"/>
        <v>0</v>
      </c>
      <c r="E25" s="16">
        <f t="shared" si="2"/>
        <v>0</v>
      </c>
      <c r="F25" s="16">
        <f t="shared" si="2"/>
        <v>0</v>
      </c>
      <c r="G25" s="16">
        <f t="shared" si="2"/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16">
        <f t="shared" si="2"/>
        <v>0</v>
      </c>
      <c r="M25" s="16">
        <f t="shared" si="2"/>
        <v>0</v>
      </c>
      <c r="N25" s="16">
        <f t="shared" si="2"/>
        <v>0</v>
      </c>
      <c r="O25" s="16">
        <f t="shared" si="2"/>
        <v>0</v>
      </c>
      <c r="P25" s="16">
        <f t="shared" si="2"/>
        <v>0</v>
      </c>
      <c r="Q25" s="16">
        <f t="shared" si="2"/>
        <v>0</v>
      </c>
      <c r="R25" s="16">
        <f t="shared" si="2"/>
        <v>0</v>
      </c>
      <c r="S25" s="16">
        <f t="shared" si="2"/>
        <v>0</v>
      </c>
      <c r="T25" s="16">
        <f t="shared" si="2"/>
        <v>0</v>
      </c>
      <c r="U25" s="16">
        <f t="shared" si="2"/>
        <v>0</v>
      </c>
      <c r="V25" s="16">
        <f t="shared" si="2"/>
        <v>0</v>
      </c>
      <c r="W25" s="16">
        <f t="shared" si="2"/>
        <v>0</v>
      </c>
      <c r="X25" s="16"/>
    </row>
  </sheetData>
  <sheetProtection formatCells="0" selectLockedCells="1"/>
  <mergeCells count="4">
    <mergeCell ref="A11:A21"/>
    <mergeCell ref="A7:W7"/>
    <mergeCell ref="A8:W8"/>
    <mergeCell ref="A6:O6"/>
  </mergeCells>
  <conditionalFormatting sqref="C11:W24">
    <cfRule type="cellIs" dxfId="6" priority="1" operator="equal">
      <formula>"S"</formula>
    </cfRule>
    <cfRule type="cellIs" dxfId="5" priority="2" operator="equal">
      <formula>"P"</formula>
    </cfRule>
    <cfRule type="cellIs" dxfId="4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FFFF00"/>
    <pageSetUpPr fitToPage="1"/>
  </sheetPr>
  <dimension ref="A1:K350"/>
  <sheetViews>
    <sheetView showGridLines="0" topLeftCell="A60" zoomScale="24" zoomScaleNormal="24" zoomScaleSheetLayoutView="50" zoomScalePageLayoutView="10" workbookViewId="0">
      <selection activeCell="A66" sqref="A66:B66"/>
    </sheetView>
  </sheetViews>
  <sheetFormatPr defaultRowHeight="18.75"/>
  <cols>
    <col min="1" max="1" width="92.5703125" style="23" customWidth="1"/>
    <col min="2" max="2" width="122" style="24" customWidth="1"/>
    <col min="3" max="3" width="37" style="24" customWidth="1"/>
    <col min="4" max="4" width="33.5703125" style="24" customWidth="1"/>
    <col min="5" max="5" width="39" style="23" bestFit="1" customWidth="1"/>
    <col min="6" max="6" width="9.140625" style="29"/>
    <col min="7" max="254" width="9.140625" style="23"/>
    <col min="255" max="255" width="101.28515625" style="23" customWidth="1"/>
    <col min="256" max="256" width="92.28515625" style="23" customWidth="1"/>
    <col min="257" max="257" width="27.85546875" style="23" customWidth="1"/>
    <col min="258" max="258" width="29.5703125" style="23" customWidth="1"/>
    <col min="259" max="259" width="27.28515625" style="23" customWidth="1"/>
    <col min="260" max="260" width="27.7109375" style="23" customWidth="1"/>
    <col min="261" max="261" width="46.140625" style="23" customWidth="1"/>
    <col min="262" max="510" width="9.140625" style="23"/>
    <col min="511" max="511" width="101.28515625" style="23" customWidth="1"/>
    <col min="512" max="512" width="92.28515625" style="23" customWidth="1"/>
    <col min="513" max="513" width="27.85546875" style="23" customWidth="1"/>
    <col min="514" max="514" width="29.5703125" style="23" customWidth="1"/>
    <col min="515" max="515" width="27.28515625" style="23" customWidth="1"/>
    <col min="516" max="516" width="27.7109375" style="23" customWidth="1"/>
    <col min="517" max="517" width="46.140625" style="23" customWidth="1"/>
    <col min="518" max="766" width="9.140625" style="23"/>
    <col min="767" max="767" width="101.28515625" style="23" customWidth="1"/>
    <col min="768" max="768" width="92.28515625" style="23" customWidth="1"/>
    <col min="769" max="769" width="27.85546875" style="23" customWidth="1"/>
    <col min="770" max="770" width="29.5703125" style="23" customWidth="1"/>
    <col min="771" max="771" width="27.28515625" style="23" customWidth="1"/>
    <col min="772" max="772" width="27.7109375" style="23" customWidth="1"/>
    <col min="773" max="773" width="46.140625" style="23" customWidth="1"/>
    <col min="774" max="1022" width="9.140625" style="23"/>
    <col min="1023" max="1023" width="101.28515625" style="23" customWidth="1"/>
    <col min="1024" max="1024" width="92.28515625" style="23" customWidth="1"/>
    <col min="1025" max="1025" width="27.85546875" style="23" customWidth="1"/>
    <col min="1026" max="1026" width="29.5703125" style="23" customWidth="1"/>
    <col min="1027" max="1027" width="27.28515625" style="23" customWidth="1"/>
    <col min="1028" max="1028" width="27.7109375" style="23" customWidth="1"/>
    <col min="1029" max="1029" width="46.140625" style="23" customWidth="1"/>
    <col min="1030" max="1278" width="9.140625" style="23"/>
    <col min="1279" max="1279" width="101.28515625" style="23" customWidth="1"/>
    <col min="1280" max="1280" width="92.28515625" style="23" customWidth="1"/>
    <col min="1281" max="1281" width="27.85546875" style="23" customWidth="1"/>
    <col min="1282" max="1282" width="29.5703125" style="23" customWidth="1"/>
    <col min="1283" max="1283" width="27.28515625" style="23" customWidth="1"/>
    <col min="1284" max="1284" width="27.7109375" style="23" customWidth="1"/>
    <col min="1285" max="1285" width="46.140625" style="23" customWidth="1"/>
    <col min="1286" max="1534" width="9.140625" style="23"/>
    <col min="1535" max="1535" width="101.28515625" style="23" customWidth="1"/>
    <col min="1536" max="1536" width="92.28515625" style="23" customWidth="1"/>
    <col min="1537" max="1537" width="27.85546875" style="23" customWidth="1"/>
    <col min="1538" max="1538" width="29.5703125" style="23" customWidth="1"/>
    <col min="1539" max="1539" width="27.28515625" style="23" customWidth="1"/>
    <col min="1540" max="1540" width="27.7109375" style="23" customWidth="1"/>
    <col min="1541" max="1541" width="46.140625" style="23" customWidth="1"/>
    <col min="1542" max="1790" width="9.140625" style="23"/>
    <col min="1791" max="1791" width="101.28515625" style="23" customWidth="1"/>
    <col min="1792" max="1792" width="92.28515625" style="23" customWidth="1"/>
    <col min="1793" max="1793" width="27.85546875" style="23" customWidth="1"/>
    <col min="1794" max="1794" width="29.5703125" style="23" customWidth="1"/>
    <col min="1795" max="1795" width="27.28515625" style="23" customWidth="1"/>
    <col min="1796" max="1796" width="27.7109375" style="23" customWidth="1"/>
    <col min="1797" max="1797" width="46.140625" style="23" customWidth="1"/>
    <col min="1798" max="2046" width="9.140625" style="23"/>
    <col min="2047" max="2047" width="101.28515625" style="23" customWidth="1"/>
    <col min="2048" max="2048" width="92.28515625" style="23" customWidth="1"/>
    <col min="2049" max="2049" width="27.85546875" style="23" customWidth="1"/>
    <col min="2050" max="2050" width="29.5703125" style="23" customWidth="1"/>
    <col min="2051" max="2051" width="27.28515625" style="23" customWidth="1"/>
    <col min="2052" max="2052" width="27.7109375" style="23" customWidth="1"/>
    <col min="2053" max="2053" width="46.140625" style="23" customWidth="1"/>
    <col min="2054" max="2302" width="9.140625" style="23"/>
    <col min="2303" max="2303" width="101.28515625" style="23" customWidth="1"/>
    <col min="2304" max="2304" width="92.28515625" style="23" customWidth="1"/>
    <col min="2305" max="2305" width="27.85546875" style="23" customWidth="1"/>
    <col min="2306" max="2306" width="29.5703125" style="23" customWidth="1"/>
    <col min="2307" max="2307" width="27.28515625" style="23" customWidth="1"/>
    <col min="2308" max="2308" width="27.7109375" style="23" customWidth="1"/>
    <col min="2309" max="2309" width="46.140625" style="23" customWidth="1"/>
    <col min="2310" max="2558" width="9.140625" style="23"/>
    <col min="2559" max="2559" width="101.28515625" style="23" customWidth="1"/>
    <col min="2560" max="2560" width="92.28515625" style="23" customWidth="1"/>
    <col min="2561" max="2561" width="27.85546875" style="23" customWidth="1"/>
    <col min="2562" max="2562" width="29.5703125" style="23" customWidth="1"/>
    <col min="2563" max="2563" width="27.28515625" style="23" customWidth="1"/>
    <col min="2564" max="2564" width="27.7109375" style="23" customWidth="1"/>
    <col min="2565" max="2565" width="46.140625" style="23" customWidth="1"/>
    <col min="2566" max="2814" width="9.140625" style="23"/>
    <col min="2815" max="2815" width="101.28515625" style="23" customWidth="1"/>
    <col min="2816" max="2816" width="92.28515625" style="23" customWidth="1"/>
    <col min="2817" max="2817" width="27.85546875" style="23" customWidth="1"/>
    <col min="2818" max="2818" width="29.5703125" style="23" customWidth="1"/>
    <col min="2819" max="2819" width="27.28515625" style="23" customWidth="1"/>
    <col min="2820" max="2820" width="27.7109375" style="23" customWidth="1"/>
    <col min="2821" max="2821" width="46.140625" style="23" customWidth="1"/>
    <col min="2822" max="3070" width="9.140625" style="23"/>
    <col min="3071" max="3071" width="101.28515625" style="23" customWidth="1"/>
    <col min="3072" max="3072" width="92.28515625" style="23" customWidth="1"/>
    <col min="3073" max="3073" width="27.85546875" style="23" customWidth="1"/>
    <col min="3074" max="3074" width="29.5703125" style="23" customWidth="1"/>
    <col min="3075" max="3075" width="27.28515625" style="23" customWidth="1"/>
    <col min="3076" max="3076" width="27.7109375" style="23" customWidth="1"/>
    <col min="3077" max="3077" width="46.140625" style="23" customWidth="1"/>
    <col min="3078" max="3326" width="9.140625" style="23"/>
    <col min="3327" max="3327" width="101.28515625" style="23" customWidth="1"/>
    <col min="3328" max="3328" width="92.28515625" style="23" customWidth="1"/>
    <col min="3329" max="3329" width="27.85546875" style="23" customWidth="1"/>
    <col min="3330" max="3330" width="29.5703125" style="23" customWidth="1"/>
    <col min="3331" max="3331" width="27.28515625" style="23" customWidth="1"/>
    <col min="3332" max="3332" width="27.7109375" style="23" customWidth="1"/>
    <col min="3333" max="3333" width="46.140625" style="23" customWidth="1"/>
    <col min="3334" max="3582" width="9.140625" style="23"/>
    <col min="3583" max="3583" width="101.28515625" style="23" customWidth="1"/>
    <col min="3584" max="3584" width="92.28515625" style="23" customWidth="1"/>
    <col min="3585" max="3585" width="27.85546875" style="23" customWidth="1"/>
    <col min="3586" max="3586" width="29.5703125" style="23" customWidth="1"/>
    <col min="3587" max="3587" width="27.28515625" style="23" customWidth="1"/>
    <col min="3588" max="3588" width="27.7109375" style="23" customWidth="1"/>
    <col min="3589" max="3589" width="46.140625" style="23" customWidth="1"/>
    <col min="3590" max="3838" width="9.140625" style="23"/>
    <col min="3839" max="3839" width="101.28515625" style="23" customWidth="1"/>
    <col min="3840" max="3840" width="92.28515625" style="23" customWidth="1"/>
    <col min="3841" max="3841" width="27.85546875" style="23" customWidth="1"/>
    <col min="3842" max="3842" width="29.5703125" style="23" customWidth="1"/>
    <col min="3843" max="3843" width="27.28515625" style="23" customWidth="1"/>
    <col min="3844" max="3844" width="27.7109375" style="23" customWidth="1"/>
    <col min="3845" max="3845" width="46.140625" style="23" customWidth="1"/>
    <col min="3846" max="4094" width="9.140625" style="23"/>
    <col min="4095" max="4095" width="101.28515625" style="23" customWidth="1"/>
    <col min="4096" max="4096" width="92.28515625" style="23" customWidth="1"/>
    <col min="4097" max="4097" width="27.85546875" style="23" customWidth="1"/>
    <col min="4098" max="4098" width="29.5703125" style="23" customWidth="1"/>
    <col min="4099" max="4099" width="27.28515625" style="23" customWidth="1"/>
    <col min="4100" max="4100" width="27.7109375" style="23" customWidth="1"/>
    <col min="4101" max="4101" width="46.140625" style="23" customWidth="1"/>
    <col min="4102" max="4350" width="9.140625" style="23"/>
    <col min="4351" max="4351" width="101.28515625" style="23" customWidth="1"/>
    <col min="4352" max="4352" width="92.28515625" style="23" customWidth="1"/>
    <col min="4353" max="4353" width="27.85546875" style="23" customWidth="1"/>
    <col min="4354" max="4354" width="29.5703125" style="23" customWidth="1"/>
    <col min="4355" max="4355" width="27.28515625" style="23" customWidth="1"/>
    <col min="4356" max="4356" width="27.7109375" style="23" customWidth="1"/>
    <col min="4357" max="4357" width="46.140625" style="23" customWidth="1"/>
    <col min="4358" max="4606" width="9.140625" style="23"/>
    <col min="4607" max="4607" width="101.28515625" style="23" customWidth="1"/>
    <col min="4608" max="4608" width="92.28515625" style="23" customWidth="1"/>
    <col min="4609" max="4609" width="27.85546875" style="23" customWidth="1"/>
    <col min="4610" max="4610" width="29.5703125" style="23" customWidth="1"/>
    <col min="4611" max="4611" width="27.28515625" style="23" customWidth="1"/>
    <col min="4612" max="4612" width="27.7109375" style="23" customWidth="1"/>
    <col min="4613" max="4613" width="46.140625" style="23" customWidth="1"/>
    <col min="4614" max="4862" width="9.140625" style="23"/>
    <col min="4863" max="4863" width="101.28515625" style="23" customWidth="1"/>
    <col min="4864" max="4864" width="92.28515625" style="23" customWidth="1"/>
    <col min="4865" max="4865" width="27.85546875" style="23" customWidth="1"/>
    <col min="4866" max="4866" width="29.5703125" style="23" customWidth="1"/>
    <col min="4867" max="4867" width="27.28515625" style="23" customWidth="1"/>
    <col min="4868" max="4868" width="27.7109375" style="23" customWidth="1"/>
    <col min="4869" max="4869" width="46.140625" style="23" customWidth="1"/>
    <col min="4870" max="5118" width="9.140625" style="23"/>
    <col min="5119" max="5119" width="101.28515625" style="23" customWidth="1"/>
    <col min="5120" max="5120" width="92.28515625" style="23" customWidth="1"/>
    <col min="5121" max="5121" width="27.85546875" style="23" customWidth="1"/>
    <col min="5122" max="5122" width="29.5703125" style="23" customWidth="1"/>
    <col min="5123" max="5123" width="27.28515625" style="23" customWidth="1"/>
    <col min="5124" max="5124" width="27.7109375" style="23" customWidth="1"/>
    <col min="5125" max="5125" width="46.140625" style="23" customWidth="1"/>
    <col min="5126" max="5374" width="9.140625" style="23"/>
    <col min="5375" max="5375" width="101.28515625" style="23" customWidth="1"/>
    <col min="5376" max="5376" width="92.28515625" style="23" customWidth="1"/>
    <col min="5377" max="5377" width="27.85546875" style="23" customWidth="1"/>
    <col min="5378" max="5378" width="29.5703125" style="23" customWidth="1"/>
    <col min="5379" max="5379" width="27.28515625" style="23" customWidth="1"/>
    <col min="5380" max="5380" width="27.7109375" style="23" customWidth="1"/>
    <col min="5381" max="5381" width="46.140625" style="23" customWidth="1"/>
    <col min="5382" max="5630" width="9.140625" style="23"/>
    <col min="5631" max="5631" width="101.28515625" style="23" customWidth="1"/>
    <col min="5632" max="5632" width="92.28515625" style="23" customWidth="1"/>
    <col min="5633" max="5633" width="27.85546875" style="23" customWidth="1"/>
    <col min="5634" max="5634" width="29.5703125" style="23" customWidth="1"/>
    <col min="5635" max="5635" width="27.28515625" style="23" customWidth="1"/>
    <col min="5636" max="5636" width="27.7109375" style="23" customWidth="1"/>
    <col min="5637" max="5637" width="46.140625" style="23" customWidth="1"/>
    <col min="5638" max="5886" width="9.140625" style="23"/>
    <col min="5887" max="5887" width="101.28515625" style="23" customWidth="1"/>
    <col min="5888" max="5888" width="92.28515625" style="23" customWidth="1"/>
    <col min="5889" max="5889" width="27.85546875" style="23" customWidth="1"/>
    <col min="5890" max="5890" width="29.5703125" style="23" customWidth="1"/>
    <col min="5891" max="5891" width="27.28515625" style="23" customWidth="1"/>
    <col min="5892" max="5892" width="27.7109375" style="23" customWidth="1"/>
    <col min="5893" max="5893" width="46.140625" style="23" customWidth="1"/>
    <col min="5894" max="6142" width="9.140625" style="23"/>
    <col min="6143" max="6143" width="101.28515625" style="23" customWidth="1"/>
    <col min="6144" max="6144" width="92.28515625" style="23" customWidth="1"/>
    <col min="6145" max="6145" width="27.85546875" style="23" customWidth="1"/>
    <col min="6146" max="6146" width="29.5703125" style="23" customWidth="1"/>
    <col min="6147" max="6147" width="27.28515625" style="23" customWidth="1"/>
    <col min="6148" max="6148" width="27.7109375" style="23" customWidth="1"/>
    <col min="6149" max="6149" width="46.140625" style="23" customWidth="1"/>
    <col min="6150" max="6398" width="9.140625" style="23"/>
    <col min="6399" max="6399" width="101.28515625" style="23" customWidth="1"/>
    <col min="6400" max="6400" width="92.28515625" style="23" customWidth="1"/>
    <col min="6401" max="6401" width="27.85546875" style="23" customWidth="1"/>
    <col min="6402" max="6402" width="29.5703125" style="23" customWidth="1"/>
    <col min="6403" max="6403" width="27.28515625" style="23" customWidth="1"/>
    <col min="6404" max="6404" width="27.7109375" style="23" customWidth="1"/>
    <col min="6405" max="6405" width="46.140625" style="23" customWidth="1"/>
    <col min="6406" max="6654" width="9.140625" style="23"/>
    <col min="6655" max="6655" width="101.28515625" style="23" customWidth="1"/>
    <col min="6656" max="6656" width="92.28515625" style="23" customWidth="1"/>
    <col min="6657" max="6657" width="27.85546875" style="23" customWidth="1"/>
    <col min="6658" max="6658" width="29.5703125" style="23" customWidth="1"/>
    <col min="6659" max="6659" width="27.28515625" style="23" customWidth="1"/>
    <col min="6660" max="6660" width="27.7109375" style="23" customWidth="1"/>
    <col min="6661" max="6661" width="46.140625" style="23" customWidth="1"/>
    <col min="6662" max="6910" width="9.140625" style="23"/>
    <col min="6911" max="6911" width="101.28515625" style="23" customWidth="1"/>
    <col min="6912" max="6912" width="92.28515625" style="23" customWidth="1"/>
    <col min="6913" max="6913" width="27.85546875" style="23" customWidth="1"/>
    <col min="6914" max="6914" width="29.5703125" style="23" customWidth="1"/>
    <col min="6915" max="6915" width="27.28515625" style="23" customWidth="1"/>
    <col min="6916" max="6916" width="27.7109375" style="23" customWidth="1"/>
    <col min="6917" max="6917" width="46.140625" style="23" customWidth="1"/>
    <col min="6918" max="7166" width="9.140625" style="23"/>
    <col min="7167" max="7167" width="101.28515625" style="23" customWidth="1"/>
    <col min="7168" max="7168" width="92.28515625" style="23" customWidth="1"/>
    <col min="7169" max="7169" width="27.85546875" style="23" customWidth="1"/>
    <col min="7170" max="7170" width="29.5703125" style="23" customWidth="1"/>
    <col min="7171" max="7171" width="27.28515625" style="23" customWidth="1"/>
    <col min="7172" max="7172" width="27.7109375" style="23" customWidth="1"/>
    <col min="7173" max="7173" width="46.140625" style="23" customWidth="1"/>
    <col min="7174" max="7422" width="9.140625" style="23"/>
    <col min="7423" max="7423" width="101.28515625" style="23" customWidth="1"/>
    <col min="7424" max="7424" width="92.28515625" style="23" customWidth="1"/>
    <col min="7425" max="7425" width="27.85546875" style="23" customWidth="1"/>
    <col min="7426" max="7426" width="29.5703125" style="23" customWidth="1"/>
    <col min="7427" max="7427" width="27.28515625" style="23" customWidth="1"/>
    <col min="7428" max="7428" width="27.7109375" style="23" customWidth="1"/>
    <col min="7429" max="7429" width="46.140625" style="23" customWidth="1"/>
    <col min="7430" max="7678" width="9.140625" style="23"/>
    <col min="7679" max="7679" width="101.28515625" style="23" customWidth="1"/>
    <col min="7680" max="7680" width="92.28515625" style="23" customWidth="1"/>
    <col min="7681" max="7681" width="27.85546875" style="23" customWidth="1"/>
    <col min="7682" max="7682" width="29.5703125" style="23" customWidth="1"/>
    <col min="7683" max="7683" width="27.28515625" style="23" customWidth="1"/>
    <col min="7684" max="7684" width="27.7109375" style="23" customWidth="1"/>
    <col min="7685" max="7685" width="46.140625" style="23" customWidth="1"/>
    <col min="7686" max="7934" width="9.140625" style="23"/>
    <col min="7935" max="7935" width="101.28515625" style="23" customWidth="1"/>
    <col min="7936" max="7936" width="92.28515625" style="23" customWidth="1"/>
    <col min="7937" max="7937" width="27.85546875" style="23" customWidth="1"/>
    <col min="7938" max="7938" width="29.5703125" style="23" customWidth="1"/>
    <col min="7939" max="7939" width="27.28515625" style="23" customWidth="1"/>
    <col min="7940" max="7940" width="27.7109375" style="23" customWidth="1"/>
    <col min="7941" max="7941" width="46.140625" style="23" customWidth="1"/>
    <col min="7942" max="8190" width="9.140625" style="23"/>
    <col min="8191" max="8191" width="101.28515625" style="23" customWidth="1"/>
    <col min="8192" max="8192" width="92.28515625" style="23" customWidth="1"/>
    <col min="8193" max="8193" width="27.85546875" style="23" customWidth="1"/>
    <col min="8194" max="8194" width="29.5703125" style="23" customWidth="1"/>
    <col min="8195" max="8195" width="27.28515625" style="23" customWidth="1"/>
    <col min="8196" max="8196" width="27.7109375" style="23" customWidth="1"/>
    <col min="8197" max="8197" width="46.140625" style="23" customWidth="1"/>
    <col min="8198" max="8446" width="9.140625" style="23"/>
    <col min="8447" max="8447" width="101.28515625" style="23" customWidth="1"/>
    <col min="8448" max="8448" width="92.28515625" style="23" customWidth="1"/>
    <col min="8449" max="8449" width="27.85546875" style="23" customWidth="1"/>
    <col min="8450" max="8450" width="29.5703125" style="23" customWidth="1"/>
    <col min="8451" max="8451" width="27.28515625" style="23" customWidth="1"/>
    <col min="8452" max="8452" width="27.7109375" style="23" customWidth="1"/>
    <col min="8453" max="8453" width="46.140625" style="23" customWidth="1"/>
    <col min="8454" max="8702" width="9.140625" style="23"/>
    <col min="8703" max="8703" width="101.28515625" style="23" customWidth="1"/>
    <col min="8704" max="8704" width="92.28515625" style="23" customWidth="1"/>
    <col min="8705" max="8705" width="27.85546875" style="23" customWidth="1"/>
    <col min="8706" max="8706" width="29.5703125" style="23" customWidth="1"/>
    <col min="8707" max="8707" width="27.28515625" style="23" customWidth="1"/>
    <col min="8708" max="8708" width="27.7109375" style="23" customWidth="1"/>
    <col min="8709" max="8709" width="46.140625" style="23" customWidth="1"/>
    <col min="8710" max="8958" width="9.140625" style="23"/>
    <col min="8959" max="8959" width="101.28515625" style="23" customWidth="1"/>
    <col min="8960" max="8960" width="92.28515625" style="23" customWidth="1"/>
    <col min="8961" max="8961" width="27.85546875" style="23" customWidth="1"/>
    <col min="8962" max="8962" width="29.5703125" style="23" customWidth="1"/>
    <col min="8963" max="8963" width="27.28515625" style="23" customWidth="1"/>
    <col min="8964" max="8964" width="27.7109375" style="23" customWidth="1"/>
    <col min="8965" max="8965" width="46.140625" style="23" customWidth="1"/>
    <col min="8966" max="9214" width="9.140625" style="23"/>
    <col min="9215" max="9215" width="101.28515625" style="23" customWidth="1"/>
    <col min="9216" max="9216" width="92.28515625" style="23" customWidth="1"/>
    <col min="9217" max="9217" width="27.85546875" style="23" customWidth="1"/>
    <col min="9218" max="9218" width="29.5703125" style="23" customWidth="1"/>
    <col min="9219" max="9219" width="27.28515625" style="23" customWidth="1"/>
    <col min="9220" max="9220" width="27.7109375" style="23" customWidth="1"/>
    <col min="9221" max="9221" width="46.140625" style="23" customWidth="1"/>
    <col min="9222" max="9470" width="9.140625" style="23"/>
    <col min="9471" max="9471" width="101.28515625" style="23" customWidth="1"/>
    <col min="9472" max="9472" width="92.28515625" style="23" customWidth="1"/>
    <col min="9473" max="9473" width="27.85546875" style="23" customWidth="1"/>
    <col min="9474" max="9474" width="29.5703125" style="23" customWidth="1"/>
    <col min="9475" max="9475" width="27.28515625" style="23" customWidth="1"/>
    <col min="9476" max="9476" width="27.7109375" style="23" customWidth="1"/>
    <col min="9477" max="9477" width="46.140625" style="23" customWidth="1"/>
    <col min="9478" max="9726" width="9.140625" style="23"/>
    <col min="9727" max="9727" width="101.28515625" style="23" customWidth="1"/>
    <col min="9728" max="9728" width="92.28515625" style="23" customWidth="1"/>
    <col min="9729" max="9729" width="27.85546875" style="23" customWidth="1"/>
    <col min="9730" max="9730" width="29.5703125" style="23" customWidth="1"/>
    <col min="9731" max="9731" width="27.28515625" style="23" customWidth="1"/>
    <col min="9732" max="9732" width="27.7109375" style="23" customWidth="1"/>
    <col min="9733" max="9733" width="46.140625" style="23" customWidth="1"/>
    <col min="9734" max="9982" width="9.140625" style="23"/>
    <col min="9983" max="9983" width="101.28515625" style="23" customWidth="1"/>
    <col min="9984" max="9984" width="92.28515625" style="23" customWidth="1"/>
    <col min="9985" max="9985" width="27.85546875" style="23" customWidth="1"/>
    <col min="9986" max="9986" width="29.5703125" style="23" customWidth="1"/>
    <col min="9987" max="9987" width="27.28515625" style="23" customWidth="1"/>
    <col min="9988" max="9988" width="27.7109375" style="23" customWidth="1"/>
    <col min="9989" max="9989" width="46.140625" style="23" customWidth="1"/>
    <col min="9990" max="10238" width="9.140625" style="23"/>
    <col min="10239" max="10239" width="101.28515625" style="23" customWidth="1"/>
    <col min="10240" max="10240" width="92.28515625" style="23" customWidth="1"/>
    <col min="10241" max="10241" width="27.85546875" style="23" customWidth="1"/>
    <col min="10242" max="10242" width="29.5703125" style="23" customWidth="1"/>
    <col min="10243" max="10243" width="27.28515625" style="23" customWidth="1"/>
    <col min="10244" max="10244" width="27.7109375" style="23" customWidth="1"/>
    <col min="10245" max="10245" width="46.140625" style="23" customWidth="1"/>
    <col min="10246" max="10494" width="9.140625" style="23"/>
    <col min="10495" max="10495" width="101.28515625" style="23" customWidth="1"/>
    <col min="10496" max="10496" width="92.28515625" style="23" customWidth="1"/>
    <col min="10497" max="10497" width="27.85546875" style="23" customWidth="1"/>
    <col min="10498" max="10498" width="29.5703125" style="23" customWidth="1"/>
    <col min="10499" max="10499" width="27.28515625" style="23" customWidth="1"/>
    <col min="10500" max="10500" width="27.7109375" style="23" customWidth="1"/>
    <col min="10501" max="10501" width="46.140625" style="23" customWidth="1"/>
    <col min="10502" max="10750" width="9.140625" style="23"/>
    <col min="10751" max="10751" width="101.28515625" style="23" customWidth="1"/>
    <col min="10752" max="10752" width="92.28515625" style="23" customWidth="1"/>
    <col min="10753" max="10753" width="27.85546875" style="23" customWidth="1"/>
    <col min="10754" max="10754" width="29.5703125" style="23" customWidth="1"/>
    <col min="10755" max="10755" width="27.28515625" style="23" customWidth="1"/>
    <col min="10756" max="10756" width="27.7109375" style="23" customWidth="1"/>
    <col min="10757" max="10757" width="46.140625" style="23" customWidth="1"/>
    <col min="10758" max="11006" width="9.140625" style="23"/>
    <col min="11007" max="11007" width="101.28515625" style="23" customWidth="1"/>
    <col min="11008" max="11008" width="92.28515625" style="23" customWidth="1"/>
    <col min="11009" max="11009" width="27.85546875" style="23" customWidth="1"/>
    <col min="11010" max="11010" width="29.5703125" style="23" customWidth="1"/>
    <col min="11011" max="11011" width="27.28515625" style="23" customWidth="1"/>
    <col min="11012" max="11012" width="27.7109375" style="23" customWidth="1"/>
    <col min="11013" max="11013" width="46.140625" style="23" customWidth="1"/>
    <col min="11014" max="11262" width="9.140625" style="23"/>
    <col min="11263" max="11263" width="101.28515625" style="23" customWidth="1"/>
    <col min="11264" max="11264" width="92.28515625" style="23" customWidth="1"/>
    <col min="11265" max="11265" width="27.85546875" style="23" customWidth="1"/>
    <col min="11266" max="11266" width="29.5703125" style="23" customWidth="1"/>
    <col min="11267" max="11267" width="27.28515625" style="23" customWidth="1"/>
    <col min="11268" max="11268" width="27.7109375" style="23" customWidth="1"/>
    <col min="11269" max="11269" width="46.140625" style="23" customWidth="1"/>
    <col min="11270" max="11518" width="9.140625" style="23"/>
    <col min="11519" max="11519" width="101.28515625" style="23" customWidth="1"/>
    <col min="11520" max="11520" width="92.28515625" style="23" customWidth="1"/>
    <col min="11521" max="11521" width="27.85546875" style="23" customWidth="1"/>
    <col min="11522" max="11522" width="29.5703125" style="23" customWidth="1"/>
    <col min="11523" max="11523" width="27.28515625" style="23" customWidth="1"/>
    <col min="11524" max="11524" width="27.7109375" style="23" customWidth="1"/>
    <col min="11525" max="11525" width="46.140625" style="23" customWidth="1"/>
    <col min="11526" max="11774" width="9.140625" style="23"/>
    <col min="11775" max="11775" width="101.28515625" style="23" customWidth="1"/>
    <col min="11776" max="11776" width="92.28515625" style="23" customWidth="1"/>
    <col min="11777" max="11777" width="27.85546875" style="23" customWidth="1"/>
    <col min="11778" max="11778" width="29.5703125" style="23" customWidth="1"/>
    <col min="11779" max="11779" width="27.28515625" style="23" customWidth="1"/>
    <col min="11780" max="11780" width="27.7109375" style="23" customWidth="1"/>
    <col min="11781" max="11781" width="46.140625" style="23" customWidth="1"/>
    <col min="11782" max="12030" width="9.140625" style="23"/>
    <col min="12031" max="12031" width="101.28515625" style="23" customWidth="1"/>
    <col min="12032" max="12032" width="92.28515625" style="23" customWidth="1"/>
    <col min="12033" max="12033" width="27.85546875" style="23" customWidth="1"/>
    <col min="12034" max="12034" width="29.5703125" style="23" customWidth="1"/>
    <col min="12035" max="12035" width="27.28515625" style="23" customWidth="1"/>
    <col min="12036" max="12036" width="27.7109375" style="23" customWidth="1"/>
    <col min="12037" max="12037" width="46.140625" style="23" customWidth="1"/>
    <col min="12038" max="12286" width="9.140625" style="23"/>
    <col min="12287" max="12287" width="101.28515625" style="23" customWidth="1"/>
    <col min="12288" max="12288" width="92.28515625" style="23" customWidth="1"/>
    <col min="12289" max="12289" width="27.85546875" style="23" customWidth="1"/>
    <col min="12290" max="12290" width="29.5703125" style="23" customWidth="1"/>
    <col min="12291" max="12291" width="27.28515625" style="23" customWidth="1"/>
    <col min="12292" max="12292" width="27.7109375" style="23" customWidth="1"/>
    <col min="12293" max="12293" width="46.140625" style="23" customWidth="1"/>
    <col min="12294" max="12542" width="9.140625" style="23"/>
    <col min="12543" max="12543" width="101.28515625" style="23" customWidth="1"/>
    <col min="12544" max="12544" width="92.28515625" style="23" customWidth="1"/>
    <col min="12545" max="12545" width="27.85546875" style="23" customWidth="1"/>
    <col min="12546" max="12546" width="29.5703125" style="23" customWidth="1"/>
    <col min="12547" max="12547" width="27.28515625" style="23" customWidth="1"/>
    <col min="12548" max="12548" width="27.7109375" style="23" customWidth="1"/>
    <col min="12549" max="12549" width="46.140625" style="23" customWidth="1"/>
    <col min="12550" max="12798" width="9.140625" style="23"/>
    <col min="12799" max="12799" width="101.28515625" style="23" customWidth="1"/>
    <col min="12800" max="12800" width="92.28515625" style="23" customWidth="1"/>
    <col min="12801" max="12801" width="27.85546875" style="23" customWidth="1"/>
    <col min="12802" max="12802" width="29.5703125" style="23" customWidth="1"/>
    <col min="12803" max="12803" width="27.28515625" style="23" customWidth="1"/>
    <col min="12804" max="12804" width="27.7109375" style="23" customWidth="1"/>
    <col min="12805" max="12805" width="46.140625" style="23" customWidth="1"/>
    <col min="12806" max="13054" width="9.140625" style="23"/>
    <col min="13055" max="13055" width="101.28515625" style="23" customWidth="1"/>
    <col min="13056" max="13056" width="92.28515625" style="23" customWidth="1"/>
    <col min="13057" max="13057" width="27.85546875" style="23" customWidth="1"/>
    <col min="13058" max="13058" width="29.5703125" style="23" customWidth="1"/>
    <col min="13059" max="13059" width="27.28515625" style="23" customWidth="1"/>
    <col min="13060" max="13060" width="27.7109375" style="23" customWidth="1"/>
    <col min="13061" max="13061" width="46.140625" style="23" customWidth="1"/>
    <col min="13062" max="13310" width="9.140625" style="23"/>
    <col min="13311" max="13311" width="101.28515625" style="23" customWidth="1"/>
    <col min="13312" max="13312" width="92.28515625" style="23" customWidth="1"/>
    <col min="13313" max="13313" width="27.85546875" style="23" customWidth="1"/>
    <col min="13314" max="13314" width="29.5703125" style="23" customWidth="1"/>
    <col min="13315" max="13315" width="27.28515625" style="23" customWidth="1"/>
    <col min="13316" max="13316" width="27.7109375" style="23" customWidth="1"/>
    <col min="13317" max="13317" width="46.140625" style="23" customWidth="1"/>
    <col min="13318" max="13566" width="9.140625" style="23"/>
    <col min="13567" max="13567" width="101.28515625" style="23" customWidth="1"/>
    <col min="13568" max="13568" width="92.28515625" style="23" customWidth="1"/>
    <col min="13569" max="13569" width="27.85546875" style="23" customWidth="1"/>
    <col min="13570" max="13570" width="29.5703125" style="23" customWidth="1"/>
    <col min="13571" max="13571" width="27.28515625" style="23" customWidth="1"/>
    <col min="13572" max="13572" width="27.7109375" style="23" customWidth="1"/>
    <col min="13573" max="13573" width="46.140625" style="23" customWidth="1"/>
    <col min="13574" max="13822" width="9.140625" style="23"/>
    <col min="13823" max="13823" width="101.28515625" style="23" customWidth="1"/>
    <col min="13824" max="13824" width="92.28515625" style="23" customWidth="1"/>
    <col min="13825" max="13825" width="27.85546875" style="23" customWidth="1"/>
    <col min="13826" max="13826" width="29.5703125" style="23" customWidth="1"/>
    <col min="13827" max="13827" width="27.28515625" style="23" customWidth="1"/>
    <col min="13828" max="13828" width="27.7109375" style="23" customWidth="1"/>
    <col min="13829" max="13829" width="46.140625" style="23" customWidth="1"/>
    <col min="13830" max="14078" width="9.140625" style="23"/>
    <col min="14079" max="14079" width="101.28515625" style="23" customWidth="1"/>
    <col min="14080" max="14080" width="92.28515625" style="23" customWidth="1"/>
    <col min="14081" max="14081" width="27.85546875" style="23" customWidth="1"/>
    <col min="14082" max="14082" width="29.5703125" style="23" customWidth="1"/>
    <col min="14083" max="14083" width="27.28515625" style="23" customWidth="1"/>
    <col min="14084" max="14084" width="27.7109375" style="23" customWidth="1"/>
    <col min="14085" max="14085" width="46.140625" style="23" customWidth="1"/>
    <col min="14086" max="14334" width="9.140625" style="23"/>
    <col min="14335" max="14335" width="101.28515625" style="23" customWidth="1"/>
    <col min="14336" max="14336" width="92.28515625" style="23" customWidth="1"/>
    <col min="14337" max="14337" width="27.85546875" style="23" customWidth="1"/>
    <col min="14338" max="14338" width="29.5703125" style="23" customWidth="1"/>
    <col min="14339" max="14339" width="27.28515625" style="23" customWidth="1"/>
    <col min="14340" max="14340" width="27.7109375" style="23" customWidth="1"/>
    <col min="14341" max="14341" width="46.140625" style="23" customWidth="1"/>
    <col min="14342" max="14590" width="9.140625" style="23"/>
    <col min="14591" max="14591" width="101.28515625" style="23" customWidth="1"/>
    <col min="14592" max="14592" width="92.28515625" style="23" customWidth="1"/>
    <col min="14593" max="14593" width="27.85546875" style="23" customWidth="1"/>
    <col min="14594" max="14594" width="29.5703125" style="23" customWidth="1"/>
    <col min="14595" max="14595" width="27.28515625" style="23" customWidth="1"/>
    <col min="14596" max="14596" width="27.7109375" style="23" customWidth="1"/>
    <col min="14597" max="14597" width="46.140625" style="23" customWidth="1"/>
    <col min="14598" max="14846" width="9.140625" style="23"/>
    <col min="14847" max="14847" width="101.28515625" style="23" customWidth="1"/>
    <col min="14848" max="14848" width="92.28515625" style="23" customWidth="1"/>
    <col min="14849" max="14849" width="27.85546875" style="23" customWidth="1"/>
    <col min="14850" max="14850" width="29.5703125" style="23" customWidth="1"/>
    <col min="14851" max="14851" width="27.28515625" style="23" customWidth="1"/>
    <col min="14852" max="14852" width="27.7109375" style="23" customWidth="1"/>
    <col min="14853" max="14853" width="46.140625" style="23" customWidth="1"/>
    <col min="14854" max="15102" width="9.140625" style="23"/>
    <col min="15103" max="15103" width="101.28515625" style="23" customWidth="1"/>
    <col min="15104" max="15104" width="92.28515625" style="23" customWidth="1"/>
    <col min="15105" max="15105" width="27.85546875" style="23" customWidth="1"/>
    <col min="15106" max="15106" width="29.5703125" style="23" customWidth="1"/>
    <col min="15107" max="15107" width="27.28515625" style="23" customWidth="1"/>
    <col min="15108" max="15108" width="27.7109375" style="23" customWidth="1"/>
    <col min="15109" max="15109" width="46.140625" style="23" customWidth="1"/>
    <col min="15110" max="15358" width="9.140625" style="23"/>
    <col min="15359" max="15359" width="101.28515625" style="23" customWidth="1"/>
    <col min="15360" max="15360" width="92.28515625" style="23" customWidth="1"/>
    <col min="15361" max="15361" width="27.85546875" style="23" customWidth="1"/>
    <col min="15362" max="15362" width="29.5703125" style="23" customWidth="1"/>
    <col min="15363" max="15363" width="27.28515625" style="23" customWidth="1"/>
    <col min="15364" max="15364" width="27.7109375" style="23" customWidth="1"/>
    <col min="15365" max="15365" width="46.140625" style="23" customWidth="1"/>
    <col min="15366" max="15614" width="9.140625" style="23"/>
    <col min="15615" max="15615" width="101.28515625" style="23" customWidth="1"/>
    <col min="15616" max="15616" width="92.28515625" style="23" customWidth="1"/>
    <col min="15617" max="15617" width="27.85546875" style="23" customWidth="1"/>
    <col min="15618" max="15618" width="29.5703125" style="23" customWidth="1"/>
    <col min="15619" max="15619" width="27.28515625" style="23" customWidth="1"/>
    <col min="15620" max="15620" width="27.7109375" style="23" customWidth="1"/>
    <col min="15621" max="15621" width="46.140625" style="23" customWidth="1"/>
    <col min="15622" max="15870" width="9.140625" style="23"/>
    <col min="15871" max="15871" width="101.28515625" style="23" customWidth="1"/>
    <col min="15872" max="15872" width="92.28515625" style="23" customWidth="1"/>
    <col min="15873" max="15873" width="27.85546875" style="23" customWidth="1"/>
    <col min="15874" max="15874" width="29.5703125" style="23" customWidth="1"/>
    <col min="15875" max="15875" width="27.28515625" style="23" customWidth="1"/>
    <col min="15876" max="15876" width="27.7109375" style="23" customWidth="1"/>
    <col min="15877" max="15877" width="46.140625" style="23" customWidth="1"/>
    <col min="15878" max="16126" width="9.140625" style="23"/>
    <col min="16127" max="16127" width="101.28515625" style="23" customWidth="1"/>
    <col min="16128" max="16128" width="92.28515625" style="23" customWidth="1"/>
    <col min="16129" max="16129" width="27.85546875" style="23" customWidth="1"/>
    <col min="16130" max="16130" width="29.5703125" style="23" customWidth="1"/>
    <col min="16131" max="16131" width="27.28515625" style="23" customWidth="1"/>
    <col min="16132" max="16132" width="27.7109375" style="23" customWidth="1"/>
    <col min="16133" max="16133" width="46.140625" style="23" customWidth="1"/>
    <col min="16134" max="16384" width="9.140625" style="23"/>
  </cols>
  <sheetData>
    <row r="1" spans="1:11" ht="177" customHeight="1" thickBot="1">
      <c r="B1" s="30"/>
      <c r="C1" s="30"/>
      <c r="D1" s="30"/>
      <c r="E1" s="29"/>
    </row>
    <row r="2" spans="1:11" ht="69" customHeight="1">
      <c r="A2" s="258" t="s">
        <v>28</v>
      </c>
      <c r="B2" s="259"/>
      <c r="C2" s="259"/>
      <c r="D2" s="259"/>
      <c r="E2" s="260"/>
    </row>
    <row r="3" spans="1:11" ht="61.5" customHeight="1">
      <c r="A3" s="253" t="str">
        <f>'Matriz Objetivos x Projetos'!A7:W7</f>
        <v xml:space="preserve">CAU/UF:  </v>
      </c>
      <c r="B3" s="253"/>
      <c r="C3" s="253"/>
      <c r="D3" s="253"/>
      <c r="E3" s="253"/>
      <c r="F3" s="36"/>
      <c r="G3" s="36"/>
      <c r="H3" s="36"/>
      <c r="I3" s="36"/>
      <c r="J3" s="36"/>
      <c r="K3" s="36"/>
    </row>
    <row r="4" spans="1:11" ht="61.5" customHeight="1">
      <c r="A4" s="253" t="s">
        <v>29</v>
      </c>
      <c r="B4" s="253"/>
      <c r="C4" s="253"/>
      <c r="D4" s="253"/>
      <c r="E4" s="253"/>
    </row>
    <row r="5" spans="1:11" s="29" customFormat="1" ht="61.5" customHeight="1">
      <c r="A5" s="51"/>
      <c r="B5" s="52"/>
      <c r="C5" s="52"/>
      <c r="D5" s="52"/>
      <c r="E5" s="52"/>
    </row>
    <row r="6" spans="1:11" ht="61.5" customHeight="1">
      <c r="A6" s="254" t="s">
        <v>30</v>
      </c>
      <c r="B6" s="254"/>
      <c r="C6" s="254"/>
      <c r="D6" s="254"/>
      <c r="E6" s="254"/>
    </row>
    <row r="7" spans="1:11" ht="61.5" customHeight="1">
      <c r="A7" s="56"/>
      <c r="B7" s="57"/>
      <c r="C7" s="57"/>
      <c r="D7" s="57"/>
      <c r="E7" s="58"/>
    </row>
    <row r="8" spans="1:11" s="25" customFormat="1" ht="61.5" customHeight="1">
      <c r="A8" s="59" t="s">
        <v>31</v>
      </c>
      <c r="B8" s="221" t="s">
        <v>32</v>
      </c>
      <c r="C8" s="221" t="s">
        <v>33</v>
      </c>
      <c r="D8" s="221" t="s">
        <v>34</v>
      </c>
      <c r="E8" s="221" t="s">
        <v>35</v>
      </c>
      <c r="F8" s="37"/>
    </row>
    <row r="9" spans="1:11" s="25" customFormat="1" ht="255.75" customHeight="1">
      <c r="A9" s="71" t="s">
        <v>36</v>
      </c>
      <c r="B9" s="67"/>
      <c r="C9" s="67"/>
      <c r="D9" s="67"/>
      <c r="E9" s="50"/>
      <c r="F9" s="37"/>
    </row>
    <row r="10" spans="1:11" s="25" customFormat="1" ht="255.75" customHeight="1">
      <c r="A10" s="103"/>
      <c r="B10" s="107"/>
      <c r="C10" s="105"/>
      <c r="D10" s="67"/>
      <c r="E10" s="50"/>
      <c r="F10" s="37"/>
    </row>
    <row r="11" spans="1:11" s="25" customFormat="1" ht="73.5" customHeight="1">
      <c r="A11" s="255" t="s">
        <v>37</v>
      </c>
      <c r="B11" s="256"/>
      <c r="C11" s="256"/>
      <c r="D11" s="256"/>
      <c r="E11" s="257"/>
      <c r="F11" s="37"/>
    </row>
    <row r="12" spans="1:11" s="25" customFormat="1" ht="64.900000000000006" customHeight="1">
      <c r="A12" s="59" t="s">
        <v>13</v>
      </c>
      <c r="B12" s="221" t="s">
        <v>32</v>
      </c>
      <c r="C12" s="221" t="s">
        <v>33</v>
      </c>
      <c r="D12" s="221" t="s">
        <v>34</v>
      </c>
      <c r="E12" s="221" t="s">
        <v>35</v>
      </c>
      <c r="F12" s="37"/>
    </row>
    <row r="13" spans="1:11" s="25" customFormat="1" ht="213" customHeight="1">
      <c r="A13" s="71"/>
      <c r="B13" s="67"/>
      <c r="C13" s="67"/>
      <c r="D13" s="67"/>
      <c r="E13" s="106"/>
      <c r="F13" s="37"/>
    </row>
    <row r="14" spans="1:11" s="25" customFormat="1" ht="213" customHeight="1">
      <c r="A14" s="103"/>
      <c r="B14" s="107"/>
      <c r="C14" s="105"/>
      <c r="D14" s="67"/>
      <c r="E14" s="106"/>
      <c r="F14" s="37"/>
    </row>
    <row r="15" spans="1:11" s="25" customFormat="1" ht="213" customHeight="1">
      <c r="A15" s="103"/>
      <c r="B15" s="107"/>
      <c r="C15" s="105"/>
      <c r="D15" s="67"/>
      <c r="E15" s="106"/>
      <c r="F15" s="37"/>
    </row>
    <row r="16" spans="1:11" s="25" customFormat="1" ht="186.75" customHeight="1">
      <c r="A16" s="71"/>
      <c r="B16" s="67"/>
      <c r="C16" s="67"/>
      <c r="D16" s="67"/>
      <c r="E16" s="106"/>
      <c r="F16" s="37"/>
    </row>
    <row r="17" spans="1:6" s="25" customFormat="1" ht="186.75" customHeight="1">
      <c r="A17" s="103"/>
      <c r="B17" s="107"/>
      <c r="C17" s="105"/>
      <c r="D17" s="67"/>
      <c r="E17" s="106"/>
      <c r="F17" s="37"/>
    </row>
    <row r="18" spans="1:6" s="25" customFormat="1" ht="186.75" customHeight="1">
      <c r="A18" s="103"/>
      <c r="B18" s="104"/>
      <c r="C18" s="105"/>
      <c r="D18" s="67"/>
      <c r="E18" s="106"/>
      <c r="F18" s="37"/>
    </row>
    <row r="19" spans="1:6" s="25" customFormat="1" ht="186.75" customHeight="1">
      <c r="A19" s="103"/>
      <c r="B19" s="104"/>
      <c r="C19" s="105"/>
      <c r="D19" s="67"/>
      <c r="E19" s="106"/>
      <c r="F19" s="37"/>
    </row>
    <row r="20" spans="1:6" s="25" customFormat="1" ht="186.75" customHeight="1" thickBot="1">
      <c r="A20" s="108"/>
      <c r="B20" s="109"/>
      <c r="C20" s="110"/>
      <c r="D20" s="67"/>
      <c r="E20" s="106"/>
      <c r="F20" s="37"/>
    </row>
    <row r="21" spans="1:6" s="25" customFormat="1" ht="89.25" customHeight="1">
      <c r="A21" s="59" t="s">
        <v>38</v>
      </c>
      <c r="B21" s="221" t="s">
        <v>32</v>
      </c>
      <c r="C21" s="221" t="s">
        <v>33</v>
      </c>
      <c r="D21" s="221" t="s">
        <v>34</v>
      </c>
      <c r="E21" s="221" t="s">
        <v>35</v>
      </c>
      <c r="F21" s="37"/>
    </row>
    <row r="22" spans="1:6" s="25" customFormat="1" ht="222" customHeight="1">
      <c r="A22" s="71"/>
      <c r="B22" s="67"/>
      <c r="C22" s="67"/>
      <c r="D22" s="67"/>
      <c r="E22" s="106"/>
      <c r="F22" s="37"/>
    </row>
    <row r="23" spans="1:6" s="25" customFormat="1" ht="246.75" customHeight="1">
      <c r="A23" s="71"/>
      <c r="B23" s="67"/>
      <c r="C23" s="67"/>
      <c r="D23" s="67"/>
      <c r="E23" s="106"/>
      <c r="F23" s="37"/>
    </row>
    <row r="24" spans="1:6" s="25" customFormat="1" ht="98.25" customHeight="1">
      <c r="A24" s="59" t="s">
        <v>15</v>
      </c>
      <c r="B24" s="221" t="s">
        <v>32</v>
      </c>
      <c r="C24" s="221" t="s">
        <v>33</v>
      </c>
      <c r="D24" s="221" t="s">
        <v>34</v>
      </c>
      <c r="E24" s="221" t="s">
        <v>35</v>
      </c>
      <c r="F24" s="37"/>
    </row>
    <row r="25" spans="1:6" s="25" customFormat="1" ht="211.5" customHeight="1">
      <c r="A25" s="71"/>
      <c r="B25" s="67"/>
      <c r="C25" s="67"/>
      <c r="D25" s="67"/>
      <c r="E25" s="50"/>
      <c r="F25" s="37"/>
    </row>
    <row r="26" spans="1:6" s="25" customFormat="1" ht="224.25" customHeight="1">
      <c r="A26" s="71"/>
      <c r="B26" s="67"/>
      <c r="C26" s="67"/>
      <c r="D26" s="67"/>
      <c r="E26" s="50"/>
      <c r="F26" s="37"/>
    </row>
    <row r="27" spans="1:6" s="25" customFormat="1" ht="221.25" customHeight="1">
      <c r="A27" s="71"/>
      <c r="B27" s="67"/>
      <c r="C27" s="67"/>
      <c r="D27" s="67"/>
      <c r="E27" s="50"/>
      <c r="F27" s="37"/>
    </row>
    <row r="28" spans="1:6" s="25" customFormat="1" ht="72" hidden="1" customHeight="1">
      <c r="A28" s="59" t="s">
        <v>16</v>
      </c>
      <c r="B28" s="221" t="s">
        <v>32</v>
      </c>
      <c r="C28" s="221" t="s">
        <v>33</v>
      </c>
      <c r="D28" s="221" t="s">
        <v>39</v>
      </c>
      <c r="E28" s="221" t="s">
        <v>39</v>
      </c>
      <c r="F28" s="37"/>
    </row>
    <row r="29" spans="1:6" s="25" customFormat="1" ht="174" hidden="1" customHeight="1">
      <c r="A29" s="71" t="s">
        <v>40</v>
      </c>
      <c r="B29" s="61" t="s">
        <v>41</v>
      </c>
      <c r="C29" s="61" t="s">
        <v>42</v>
      </c>
      <c r="D29" s="61"/>
      <c r="E29" s="62"/>
      <c r="F29" s="37"/>
    </row>
    <row r="30" spans="1:6" s="25" customFormat="1" ht="217.5" hidden="1" customHeight="1">
      <c r="A30" s="71" t="s">
        <v>43</v>
      </c>
      <c r="B30" s="61" t="s">
        <v>44</v>
      </c>
      <c r="C30" s="61" t="s">
        <v>42</v>
      </c>
      <c r="D30" s="61"/>
      <c r="E30" s="62"/>
      <c r="F30" s="37"/>
    </row>
    <row r="31" spans="1:6" s="25" customFormat="1" ht="77.25" customHeight="1">
      <c r="A31" s="59" t="s">
        <v>45</v>
      </c>
      <c r="B31" s="221" t="s">
        <v>32</v>
      </c>
      <c r="C31" s="221" t="s">
        <v>33</v>
      </c>
      <c r="D31" s="221" t="s">
        <v>34</v>
      </c>
      <c r="E31" s="221" t="s">
        <v>35</v>
      </c>
      <c r="F31" s="37"/>
    </row>
    <row r="32" spans="1:6" s="25" customFormat="1" ht="342.75" customHeight="1">
      <c r="A32" s="71"/>
      <c r="B32" s="67"/>
      <c r="C32" s="67"/>
      <c r="D32" s="67"/>
      <c r="E32" s="50"/>
      <c r="F32" s="37"/>
    </row>
    <row r="33" spans="1:6" s="25" customFormat="1" ht="166.5" customHeight="1">
      <c r="A33" s="103"/>
      <c r="B33" s="111"/>
      <c r="C33" s="105"/>
      <c r="D33" s="67"/>
      <c r="E33" s="50"/>
      <c r="F33" s="37"/>
    </row>
    <row r="34" spans="1:6" s="25" customFormat="1" ht="226.5" customHeight="1">
      <c r="A34" s="71"/>
      <c r="B34" s="67"/>
      <c r="C34" s="67"/>
      <c r="D34" s="67"/>
      <c r="E34" s="50"/>
      <c r="F34" s="37"/>
    </row>
    <row r="35" spans="1:6" s="25" customFormat="1" ht="63.6" customHeight="1">
      <c r="A35" s="59" t="s">
        <v>46</v>
      </c>
      <c r="B35" s="221" t="s">
        <v>32</v>
      </c>
      <c r="C35" s="221" t="s">
        <v>33</v>
      </c>
      <c r="D35" s="221" t="s">
        <v>34</v>
      </c>
      <c r="E35" s="221" t="s">
        <v>35</v>
      </c>
      <c r="F35" s="37"/>
    </row>
    <row r="36" spans="1:6" s="25" customFormat="1" ht="254.25" customHeight="1">
      <c r="A36" s="71"/>
      <c r="B36" s="67"/>
      <c r="C36" s="67"/>
      <c r="D36" s="67"/>
      <c r="E36" s="50"/>
      <c r="F36" s="37"/>
    </row>
    <row r="37" spans="1:6" s="25" customFormat="1" ht="254.25" customHeight="1">
      <c r="A37" s="103"/>
      <c r="B37" s="107"/>
      <c r="C37" s="105"/>
      <c r="D37" s="67"/>
      <c r="E37" s="50"/>
      <c r="F37" s="37"/>
    </row>
    <row r="38" spans="1:6" s="25" customFormat="1" ht="27.75">
      <c r="A38" s="71"/>
      <c r="B38" s="67"/>
      <c r="C38" s="67"/>
      <c r="D38" s="67"/>
      <c r="E38" s="50"/>
      <c r="F38" s="37"/>
    </row>
    <row r="39" spans="1:6" s="25" customFormat="1" ht="189" customHeight="1">
      <c r="A39" s="103"/>
      <c r="B39" s="112"/>
      <c r="C39" s="105"/>
      <c r="D39" s="67"/>
      <c r="E39" s="50"/>
      <c r="F39" s="37"/>
    </row>
    <row r="40" spans="1:6" s="25" customFormat="1" ht="303" customHeight="1">
      <c r="A40" s="71"/>
      <c r="B40" s="67"/>
      <c r="C40" s="67"/>
      <c r="D40" s="67"/>
      <c r="E40" s="50"/>
      <c r="F40" s="37"/>
    </row>
    <row r="41" spans="1:6" s="25" customFormat="1" ht="233.25" customHeight="1">
      <c r="A41" s="71"/>
      <c r="B41" s="67"/>
      <c r="C41" s="67"/>
      <c r="D41" s="67"/>
      <c r="E41" s="50"/>
      <c r="F41" s="37"/>
    </row>
    <row r="42" spans="1:6" s="37" customFormat="1" ht="65.25" customHeight="1">
      <c r="A42" s="59" t="s">
        <v>19</v>
      </c>
      <c r="B42" s="221" t="s">
        <v>32</v>
      </c>
      <c r="C42" s="221" t="s">
        <v>33</v>
      </c>
      <c r="D42" s="221" t="s">
        <v>34</v>
      </c>
      <c r="E42" s="221" t="s">
        <v>35</v>
      </c>
    </row>
    <row r="43" spans="1:6" s="25" customFormat="1" ht="193.5" customHeight="1">
      <c r="A43" s="60"/>
      <c r="B43" s="61"/>
      <c r="C43" s="61"/>
      <c r="D43" s="61"/>
      <c r="E43" s="66"/>
      <c r="F43" s="37"/>
    </row>
    <row r="44" spans="1:6" s="25" customFormat="1" ht="240.75" customHeight="1">
      <c r="A44" s="60"/>
      <c r="B44" s="61"/>
      <c r="C44" s="61"/>
      <c r="D44" s="61"/>
      <c r="E44" s="65"/>
      <c r="F44" s="37"/>
    </row>
    <row r="45" spans="1:6" s="25" customFormat="1" ht="267.75" customHeight="1">
      <c r="A45" s="60"/>
      <c r="B45" s="61"/>
      <c r="C45" s="61"/>
      <c r="D45" s="61"/>
      <c r="E45" s="65"/>
      <c r="F45" s="37"/>
    </row>
    <row r="46" spans="1:6" s="25" customFormat="1" ht="64.150000000000006" customHeight="1">
      <c r="A46" s="59" t="s">
        <v>20</v>
      </c>
      <c r="B46" s="221" t="s">
        <v>32</v>
      </c>
      <c r="C46" s="221" t="s">
        <v>33</v>
      </c>
      <c r="D46" s="221" t="s">
        <v>34</v>
      </c>
      <c r="E46" s="221" t="s">
        <v>35</v>
      </c>
      <c r="F46" s="37"/>
    </row>
    <row r="47" spans="1:6" s="25" customFormat="1" ht="261.75" customHeight="1">
      <c r="A47" s="71"/>
      <c r="B47" s="67"/>
      <c r="C47" s="67"/>
      <c r="D47" s="67"/>
      <c r="E47" s="55"/>
      <c r="F47" s="37"/>
    </row>
    <row r="48" spans="1:6" s="25" customFormat="1" ht="261.75" customHeight="1">
      <c r="A48" s="71"/>
      <c r="B48" s="67"/>
      <c r="C48" s="67"/>
      <c r="D48" s="67"/>
      <c r="E48" s="55"/>
      <c r="F48" s="37"/>
    </row>
    <row r="49" spans="1:6" s="25" customFormat="1" ht="56.45" customHeight="1">
      <c r="A49" s="59" t="s">
        <v>21</v>
      </c>
      <c r="B49" s="221" t="s">
        <v>32</v>
      </c>
      <c r="C49" s="221" t="s">
        <v>33</v>
      </c>
      <c r="D49" s="221" t="s">
        <v>34</v>
      </c>
      <c r="E49" s="221" t="s">
        <v>35</v>
      </c>
      <c r="F49" s="37"/>
    </row>
    <row r="50" spans="1:6" s="25" customFormat="1" ht="197.25" customHeight="1">
      <c r="A50" s="71"/>
      <c r="B50" s="67"/>
      <c r="C50" s="67"/>
      <c r="D50" s="67"/>
      <c r="E50" s="55"/>
      <c r="F50" s="37"/>
    </row>
    <row r="51" spans="1:6" s="25" customFormat="1" ht="197.25" customHeight="1">
      <c r="A51" s="71"/>
      <c r="B51" s="67"/>
      <c r="C51" s="67"/>
      <c r="D51" s="67"/>
      <c r="E51" s="50"/>
      <c r="F51" s="37"/>
    </row>
    <row r="52" spans="1:6" s="25" customFormat="1" ht="61.15" customHeight="1">
      <c r="A52" s="59" t="s">
        <v>22</v>
      </c>
      <c r="B52" s="221" t="s">
        <v>32</v>
      </c>
      <c r="C52" s="221" t="s">
        <v>33</v>
      </c>
      <c r="D52" s="221" t="s">
        <v>34</v>
      </c>
      <c r="E52" s="221" t="s">
        <v>35</v>
      </c>
      <c r="F52" s="37"/>
    </row>
    <row r="53" spans="1:6" s="25" customFormat="1" ht="220.5" customHeight="1">
      <c r="A53" s="71"/>
      <c r="B53" s="67"/>
      <c r="C53" s="67"/>
      <c r="D53" s="67"/>
      <c r="E53" s="55"/>
      <c r="F53" s="37"/>
    </row>
    <row r="54" spans="1:6" s="25" customFormat="1" ht="220.5" customHeight="1">
      <c r="A54" s="71"/>
      <c r="B54" s="67"/>
      <c r="C54" s="67"/>
      <c r="D54" s="67"/>
      <c r="E54" s="106"/>
      <c r="F54" s="37"/>
    </row>
    <row r="55" spans="1:6" s="25" customFormat="1" ht="220.5" customHeight="1">
      <c r="A55" s="71"/>
      <c r="B55" s="67"/>
      <c r="C55" s="67"/>
      <c r="D55" s="67"/>
      <c r="E55" s="113"/>
      <c r="F55" s="37"/>
    </row>
    <row r="56" spans="1:6" s="25" customFormat="1" ht="220.5" customHeight="1">
      <c r="A56" s="71"/>
      <c r="B56" s="67"/>
      <c r="C56" s="67"/>
      <c r="D56" s="67"/>
      <c r="E56" s="106"/>
      <c r="F56" s="37"/>
    </row>
    <row r="57" spans="1:6" s="25" customFormat="1" ht="220.5" customHeight="1">
      <c r="A57" s="71"/>
      <c r="B57" s="67"/>
      <c r="C57" s="67"/>
      <c r="D57" s="67"/>
      <c r="E57" s="106"/>
      <c r="F57" s="37"/>
    </row>
    <row r="58" spans="1:6" s="25" customFormat="1" ht="58.9" customHeight="1">
      <c r="A58" s="59" t="s">
        <v>23</v>
      </c>
      <c r="B58" s="221" t="s">
        <v>32</v>
      </c>
      <c r="C58" s="221" t="s">
        <v>33</v>
      </c>
      <c r="D58" s="221" t="s">
        <v>34</v>
      </c>
      <c r="E58" s="221" t="s">
        <v>35</v>
      </c>
      <c r="F58" s="37"/>
    </row>
    <row r="59" spans="1:6" s="25" customFormat="1" ht="273" customHeight="1">
      <c r="A59" s="60"/>
      <c r="B59" s="64"/>
      <c r="C59" s="64"/>
      <c r="D59" s="64"/>
      <c r="E59" s="62"/>
      <c r="F59" s="37"/>
    </row>
    <row r="60" spans="1:6" s="25" customFormat="1" ht="60" customHeight="1">
      <c r="A60" s="59" t="s">
        <v>25</v>
      </c>
      <c r="B60" s="221" t="s">
        <v>32</v>
      </c>
      <c r="C60" s="221" t="s">
        <v>33</v>
      </c>
      <c r="D60" s="221" t="s">
        <v>34</v>
      </c>
      <c r="E60" s="221" t="s">
        <v>35</v>
      </c>
      <c r="F60" s="37"/>
    </row>
    <row r="61" spans="1:6" s="25" customFormat="1" ht="264" customHeight="1">
      <c r="A61" s="63"/>
      <c r="B61" s="64"/>
      <c r="C61" s="64"/>
      <c r="D61" s="64"/>
      <c r="E61" s="66"/>
      <c r="F61" s="37"/>
    </row>
    <row r="62" spans="1:6" s="25" customFormat="1" ht="264" customHeight="1">
      <c r="A62" s="63"/>
      <c r="B62" s="64"/>
      <c r="C62" s="64"/>
      <c r="D62" s="64"/>
      <c r="E62" s="66"/>
      <c r="F62" s="37"/>
    </row>
    <row r="63" spans="1:6" s="25" customFormat="1" ht="264" customHeight="1">
      <c r="A63" s="63"/>
      <c r="B63" s="64"/>
      <c r="C63" s="64"/>
      <c r="D63" s="64"/>
      <c r="E63" s="66"/>
      <c r="F63" s="37"/>
    </row>
    <row r="64" spans="1:6" s="25" customFormat="1" ht="76.5" customHeight="1">
      <c r="A64" s="59" t="s">
        <v>26</v>
      </c>
      <c r="B64" s="221" t="s">
        <v>32</v>
      </c>
      <c r="C64" s="221" t="s">
        <v>33</v>
      </c>
      <c r="D64" s="221" t="s">
        <v>34</v>
      </c>
      <c r="E64" s="221" t="s">
        <v>35</v>
      </c>
      <c r="F64" s="37"/>
    </row>
    <row r="65" spans="1:6" s="25" customFormat="1" ht="270" customHeight="1">
      <c r="A65" s="60"/>
      <c r="B65" s="64"/>
      <c r="C65" s="64"/>
      <c r="D65" s="64"/>
      <c r="E65" s="62"/>
      <c r="F65" s="37"/>
    </row>
    <row r="66" spans="1:6" s="25" customFormat="1" ht="127.5" customHeight="1">
      <c r="A66" s="59" t="s">
        <v>27</v>
      </c>
      <c r="B66" s="221" t="s">
        <v>32</v>
      </c>
      <c r="C66" s="221" t="s">
        <v>33</v>
      </c>
      <c r="D66" s="221" t="s">
        <v>34</v>
      </c>
      <c r="E66" s="221" t="s">
        <v>35</v>
      </c>
      <c r="F66" s="37"/>
    </row>
    <row r="67" spans="1:6" s="25" customFormat="1" ht="264.75" customHeight="1">
      <c r="A67" s="60"/>
      <c r="B67" s="64"/>
      <c r="C67" s="64"/>
      <c r="D67" s="64"/>
      <c r="E67" s="62"/>
      <c r="F67" s="37"/>
    </row>
    <row r="68" spans="1:6" s="25" customFormat="1" ht="271.5" customHeight="1">
      <c r="A68" s="60"/>
      <c r="B68" s="64"/>
      <c r="C68" s="64"/>
      <c r="D68" s="64"/>
      <c r="E68" s="62"/>
      <c r="F68" s="37"/>
    </row>
    <row r="69" spans="1:6" s="26" customFormat="1" ht="30.75" customHeight="1">
      <c r="A69" s="68"/>
      <c r="B69" s="69"/>
      <c r="C69" s="69"/>
      <c r="D69" s="69"/>
      <c r="E69" s="70"/>
      <c r="F69" s="29"/>
    </row>
    <row r="70" spans="1:6" ht="12" customHeight="1">
      <c r="A70" s="27"/>
      <c r="B70" s="28"/>
      <c r="C70" s="28"/>
      <c r="D70" s="28"/>
      <c r="E70" s="27"/>
    </row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</sheetData>
  <mergeCells count="5">
    <mergeCell ref="A3:E3"/>
    <mergeCell ref="A4:E4"/>
    <mergeCell ref="A6:E6"/>
    <mergeCell ref="A11:E11"/>
    <mergeCell ref="A2:E2"/>
  </mergeCells>
  <pageMargins left="0.511811024" right="0.511811024" top="0.78740157499999996" bottom="0.78740157499999996" header="0.31496062000000002" footer="0.31496062000000002"/>
  <pageSetup paperSize="9" scale="28" fitToHeight="0" orientation="portrait" r:id="rId1"/>
  <rowBreaks count="1" manualBreakCount="1">
    <brk id="22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4"/>
  <sheetViews>
    <sheetView showGridLines="0" tabSelected="1" zoomScale="70" zoomScaleNormal="70" workbookViewId="0">
      <selection activeCell="H66" sqref="H66"/>
    </sheetView>
  </sheetViews>
  <sheetFormatPr defaultColWidth="9.140625" defaultRowHeight="26.25"/>
  <cols>
    <col min="1" max="1" width="131.85546875" style="121" customWidth="1"/>
    <col min="2" max="2" width="92.28515625" style="133" customWidth="1"/>
    <col min="3" max="3" width="14.28515625" style="121" customWidth="1"/>
    <col min="4" max="4" width="39.42578125" style="133" hidden="1" customWidth="1"/>
    <col min="5" max="5" width="25.7109375" style="121" customWidth="1"/>
    <col min="6" max="6" width="27.140625" style="121" customWidth="1"/>
    <col min="7" max="7" width="32.7109375" style="121" customWidth="1"/>
    <col min="8" max="8" width="130.140625" style="121" customWidth="1"/>
    <col min="9" max="16384" width="9.140625" style="121"/>
  </cols>
  <sheetData>
    <row r="1" spans="1:8" ht="63" customHeight="1">
      <c r="B1" s="132"/>
      <c r="C1" s="132"/>
      <c r="D1" s="132"/>
    </row>
    <row r="2" spans="1:8" ht="74.25" customHeight="1">
      <c r="A2" s="269" t="s">
        <v>47</v>
      </c>
      <c r="B2" s="270"/>
      <c r="C2" s="270"/>
      <c r="D2" s="270"/>
      <c r="E2" s="270"/>
      <c r="F2" s="270"/>
    </row>
    <row r="3" spans="1:8">
      <c r="A3" s="271" t="str">
        <f>'Matriz Objetivos x Projetos'!A7:W7</f>
        <v xml:space="preserve">CAU/UF:  </v>
      </c>
      <c r="B3" s="272"/>
      <c r="C3" s="272"/>
      <c r="D3" s="272"/>
      <c r="E3" s="272"/>
      <c r="F3" s="272"/>
    </row>
    <row r="4" spans="1:8" ht="39" customHeight="1">
      <c r="A4" s="271" t="s">
        <v>48</v>
      </c>
      <c r="B4" s="272"/>
      <c r="C4" s="272"/>
      <c r="D4" s="272"/>
      <c r="E4" s="272"/>
      <c r="F4" s="272"/>
    </row>
    <row r="5" spans="1:8">
      <c r="A5" s="51"/>
      <c r="B5" s="120"/>
      <c r="C5" s="52"/>
      <c r="D5" s="120"/>
    </row>
    <row r="6" spans="1:8" ht="44.25" customHeight="1">
      <c r="A6" s="273" t="s">
        <v>30</v>
      </c>
      <c r="B6" s="274"/>
      <c r="C6" s="274"/>
      <c r="D6" s="274"/>
      <c r="E6" s="274"/>
      <c r="F6" s="274"/>
    </row>
    <row r="7" spans="1:8" ht="89.1" hidden="1" customHeight="1">
      <c r="A7" s="129" t="s">
        <v>31</v>
      </c>
      <c r="B7" s="277" t="s">
        <v>32</v>
      </c>
      <c r="C7" s="277"/>
      <c r="D7" s="221" t="s">
        <v>33</v>
      </c>
      <c r="E7" s="221" t="s">
        <v>34</v>
      </c>
      <c r="F7" s="221" t="s">
        <v>49</v>
      </c>
    </row>
    <row r="8" spans="1:8" ht="65.099999999999994" hidden="1" customHeight="1">
      <c r="A8" s="261" t="s">
        <v>50</v>
      </c>
      <c r="B8" s="122" t="s">
        <v>51</v>
      </c>
      <c r="C8" s="295" t="s">
        <v>52</v>
      </c>
      <c r="D8" s="265" t="s">
        <v>53</v>
      </c>
      <c r="E8" s="278"/>
      <c r="F8" s="278"/>
    </row>
    <row r="9" spans="1:8" ht="65.099999999999994" hidden="1" customHeight="1">
      <c r="A9" s="288"/>
      <c r="B9" s="114" t="s">
        <v>54</v>
      </c>
      <c r="C9" s="263"/>
      <c r="D9" s="296"/>
      <c r="E9" s="279"/>
      <c r="F9" s="279"/>
    </row>
    <row r="10" spans="1:8" ht="44.25" customHeight="1">
      <c r="A10" s="273" t="s">
        <v>37</v>
      </c>
      <c r="B10" s="274"/>
      <c r="C10" s="274"/>
      <c r="D10" s="274"/>
      <c r="E10" s="274"/>
      <c r="F10" s="274"/>
    </row>
    <row r="11" spans="1:8" ht="116.25" customHeight="1">
      <c r="A11" s="59" t="s">
        <v>13</v>
      </c>
      <c r="B11" s="277" t="s">
        <v>32</v>
      </c>
      <c r="C11" s="277"/>
      <c r="D11" s="221" t="s">
        <v>33</v>
      </c>
      <c r="E11" s="221" t="s">
        <v>34</v>
      </c>
      <c r="F11" s="221" t="s">
        <v>49</v>
      </c>
    </row>
    <row r="12" spans="1:8" ht="65.099999999999994" hidden="1" customHeight="1">
      <c r="A12" s="348" t="s">
        <v>55</v>
      </c>
      <c r="B12" s="115" t="s">
        <v>56</v>
      </c>
      <c r="C12" s="264" t="s">
        <v>52</v>
      </c>
      <c r="D12" s="296" t="s">
        <v>57</v>
      </c>
      <c r="E12" s="287"/>
      <c r="F12" s="287"/>
    </row>
    <row r="13" spans="1:8" ht="65.099999999999994" hidden="1" customHeight="1">
      <c r="A13" s="349"/>
      <c r="B13" s="114" t="s">
        <v>58</v>
      </c>
      <c r="C13" s="263"/>
      <c r="D13" s="296"/>
      <c r="E13" s="279"/>
      <c r="F13" s="279"/>
    </row>
    <row r="14" spans="1:8" ht="65.099999999999994" customHeight="1">
      <c r="A14" s="350" t="s">
        <v>59</v>
      </c>
      <c r="B14" s="115" t="s">
        <v>60</v>
      </c>
      <c r="C14" s="264" t="s">
        <v>52</v>
      </c>
      <c r="D14" s="296" t="s">
        <v>57</v>
      </c>
      <c r="E14" s="308">
        <v>0.1</v>
      </c>
      <c r="F14" s="311">
        <v>0.11600000000000001</v>
      </c>
      <c r="H14" s="220"/>
    </row>
    <row r="15" spans="1:8" ht="65.099999999999994" customHeight="1">
      <c r="A15" s="297"/>
      <c r="B15" s="114" t="s">
        <v>61</v>
      </c>
      <c r="C15" s="263"/>
      <c r="D15" s="296"/>
      <c r="E15" s="309"/>
      <c r="F15" s="312"/>
      <c r="H15" s="220"/>
    </row>
    <row r="16" spans="1:8" ht="65.099999999999994" customHeight="1">
      <c r="A16" s="297" t="s">
        <v>62</v>
      </c>
      <c r="B16" s="115" t="s">
        <v>63</v>
      </c>
      <c r="C16" s="264"/>
      <c r="D16" s="296" t="s">
        <v>64</v>
      </c>
      <c r="E16" s="340">
        <v>0.28000000000000003</v>
      </c>
      <c r="F16" s="342">
        <f>(19774/12)/5733</f>
        <v>0.28742950171521597</v>
      </c>
      <c r="H16" s="220"/>
    </row>
    <row r="17" spans="1:8" ht="65.099999999999994" customHeight="1">
      <c r="A17" s="297"/>
      <c r="B17" s="114" t="s">
        <v>65</v>
      </c>
      <c r="C17" s="263"/>
      <c r="D17" s="296"/>
      <c r="E17" s="341"/>
      <c r="F17" s="343"/>
      <c r="H17" s="220"/>
    </row>
    <row r="18" spans="1:8" ht="65.099999999999994" customHeight="1">
      <c r="A18" s="297" t="s">
        <v>66</v>
      </c>
      <c r="B18" s="115" t="s">
        <v>67</v>
      </c>
      <c r="C18" s="264" t="s">
        <v>68</v>
      </c>
      <c r="D18" s="296" t="s">
        <v>64</v>
      </c>
      <c r="E18" s="306">
        <v>1</v>
      </c>
      <c r="F18" s="344">
        <v>1</v>
      </c>
      <c r="H18" s="220"/>
    </row>
    <row r="19" spans="1:8" ht="65.099999999999994" customHeight="1">
      <c r="A19" s="297"/>
      <c r="B19" s="114" t="s">
        <v>69</v>
      </c>
      <c r="C19" s="263"/>
      <c r="D19" s="296"/>
      <c r="E19" s="307"/>
      <c r="F19" s="345"/>
      <c r="H19" s="220"/>
    </row>
    <row r="20" spans="1:8" ht="65.099999999999994" customHeight="1">
      <c r="A20" s="297" t="s">
        <v>70</v>
      </c>
      <c r="B20" s="115" t="s">
        <v>71</v>
      </c>
      <c r="C20" s="264" t="s">
        <v>68</v>
      </c>
      <c r="D20" s="296" t="s">
        <v>72</v>
      </c>
      <c r="E20" s="275">
        <v>1</v>
      </c>
      <c r="F20" s="344">
        <v>0.6</v>
      </c>
      <c r="H20" s="220"/>
    </row>
    <row r="21" spans="1:8" ht="65.099999999999994" customHeight="1">
      <c r="A21" s="297"/>
      <c r="B21" s="114" t="s">
        <v>73</v>
      </c>
      <c r="C21" s="263"/>
      <c r="D21" s="296"/>
      <c r="E21" s="276"/>
      <c r="F21" s="345"/>
      <c r="H21" s="220"/>
    </row>
    <row r="22" spans="1:8" ht="65.099999999999994" customHeight="1">
      <c r="A22" s="288" t="s">
        <v>74</v>
      </c>
      <c r="B22" s="115" t="s">
        <v>75</v>
      </c>
      <c r="C22" s="291" t="s">
        <v>52</v>
      </c>
      <c r="D22" s="296" t="s">
        <v>72</v>
      </c>
      <c r="E22" s="346">
        <v>0.65</v>
      </c>
      <c r="F22" s="304">
        <f>27/84</f>
        <v>0.32142857142857145</v>
      </c>
      <c r="H22" s="220"/>
    </row>
    <row r="23" spans="1:8" ht="65.099999999999994" customHeight="1">
      <c r="A23" s="288"/>
      <c r="B23" s="118" t="s">
        <v>76</v>
      </c>
      <c r="C23" s="291"/>
      <c r="D23" s="296"/>
      <c r="E23" s="347"/>
      <c r="F23" s="305"/>
      <c r="H23" s="220"/>
    </row>
    <row r="24" spans="1:8" ht="165.75" customHeight="1">
      <c r="A24" s="59" t="s">
        <v>38</v>
      </c>
      <c r="B24" s="298" t="s">
        <v>32</v>
      </c>
      <c r="C24" s="299"/>
      <c r="D24" s="221" t="s">
        <v>33</v>
      </c>
      <c r="E24" s="221" t="s">
        <v>34</v>
      </c>
      <c r="F24" s="221" t="s">
        <v>49</v>
      </c>
    </row>
    <row r="25" spans="1:8" ht="65.099999999999994" customHeight="1">
      <c r="A25" s="300" t="s">
        <v>77</v>
      </c>
      <c r="B25" s="116" t="s">
        <v>78</v>
      </c>
      <c r="C25" s="301" t="s">
        <v>52</v>
      </c>
      <c r="D25" s="303" t="s">
        <v>57</v>
      </c>
      <c r="E25" s="284">
        <v>1</v>
      </c>
      <c r="F25" s="353">
        <v>1</v>
      </c>
    </row>
    <row r="26" spans="1:8" ht="65.099999999999994" customHeight="1">
      <c r="A26" s="300"/>
      <c r="B26" s="117" t="s">
        <v>79</v>
      </c>
      <c r="C26" s="302"/>
      <c r="D26" s="303"/>
      <c r="E26" s="286"/>
      <c r="F26" s="345"/>
    </row>
    <row r="27" spans="1:8" ht="104.25" customHeight="1">
      <c r="A27" s="300" t="s">
        <v>80</v>
      </c>
      <c r="B27" s="116" t="s">
        <v>81</v>
      </c>
      <c r="C27" s="301" t="s">
        <v>52</v>
      </c>
      <c r="D27" s="303" t="s">
        <v>57</v>
      </c>
      <c r="E27" s="284">
        <v>1</v>
      </c>
      <c r="F27" s="354">
        <f>443/473</f>
        <v>0.93657505285412257</v>
      </c>
    </row>
    <row r="28" spans="1:8" ht="104.25" customHeight="1">
      <c r="A28" s="300"/>
      <c r="B28" s="117" t="s">
        <v>82</v>
      </c>
      <c r="C28" s="302"/>
      <c r="D28" s="303"/>
      <c r="E28" s="286"/>
      <c r="F28" s="355"/>
    </row>
    <row r="29" spans="1:8" ht="89.1" customHeight="1">
      <c r="A29" s="59" t="s">
        <v>15</v>
      </c>
      <c r="B29" s="298" t="s">
        <v>32</v>
      </c>
      <c r="C29" s="299"/>
      <c r="D29" s="221" t="s">
        <v>33</v>
      </c>
      <c r="E29" s="143" t="s">
        <v>34</v>
      </c>
      <c r="F29" s="221" t="s">
        <v>49</v>
      </c>
    </row>
    <row r="30" spans="1:8" ht="65.099999999999994" customHeight="1">
      <c r="A30" s="300" t="s">
        <v>83</v>
      </c>
      <c r="B30" s="116" t="s">
        <v>84</v>
      </c>
      <c r="C30" s="301" t="s">
        <v>52</v>
      </c>
      <c r="D30" s="303" t="s">
        <v>53</v>
      </c>
      <c r="E30" s="284">
        <v>0.72</v>
      </c>
      <c r="F30" s="357">
        <f>'Quadro Geral'!H19/Fontes!C28</f>
        <v>9.1854752370509694E-3</v>
      </c>
    </row>
    <row r="31" spans="1:8" ht="65.099999999999994" customHeight="1">
      <c r="A31" s="300"/>
      <c r="B31" s="119" t="s">
        <v>85</v>
      </c>
      <c r="C31" s="323"/>
      <c r="D31" s="303"/>
      <c r="E31" s="286"/>
      <c r="F31" s="358"/>
    </row>
    <row r="32" spans="1:8" ht="65.099999999999994" customHeight="1">
      <c r="A32" s="300" t="s">
        <v>86</v>
      </c>
      <c r="B32" s="116" t="s">
        <v>87</v>
      </c>
      <c r="C32" s="301" t="s">
        <v>52</v>
      </c>
      <c r="D32" s="303" t="s">
        <v>53</v>
      </c>
      <c r="E32" s="284">
        <v>1</v>
      </c>
      <c r="F32" s="351">
        <v>1</v>
      </c>
    </row>
    <row r="33" spans="1:6" ht="65.099999999999994" customHeight="1">
      <c r="A33" s="324"/>
      <c r="B33" s="119" t="s">
        <v>84</v>
      </c>
      <c r="C33" s="323"/>
      <c r="D33" s="359"/>
      <c r="E33" s="360"/>
      <c r="F33" s="352"/>
    </row>
    <row r="34" spans="1:6" ht="89.1" hidden="1" customHeight="1">
      <c r="A34" s="59" t="s">
        <v>45</v>
      </c>
      <c r="B34" s="277" t="s">
        <v>32</v>
      </c>
      <c r="C34" s="277"/>
      <c r="D34" s="221" t="s">
        <v>33</v>
      </c>
      <c r="E34" s="221" t="s">
        <v>34</v>
      </c>
      <c r="F34" s="221" t="s">
        <v>49</v>
      </c>
    </row>
    <row r="35" spans="1:6" ht="105.75" hidden="1" customHeight="1">
      <c r="A35" s="321" t="s">
        <v>88</v>
      </c>
      <c r="B35" s="134" t="s">
        <v>89</v>
      </c>
      <c r="C35" s="325" t="s">
        <v>52</v>
      </c>
      <c r="D35" s="326" t="s">
        <v>53</v>
      </c>
      <c r="E35" s="278"/>
      <c r="F35" s="278"/>
    </row>
    <row r="36" spans="1:6" ht="65.099999999999994" hidden="1" customHeight="1">
      <c r="A36" s="322"/>
      <c r="B36" s="123" t="s">
        <v>90</v>
      </c>
      <c r="C36" s="325"/>
      <c r="D36" s="327"/>
      <c r="E36" s="279"/>
      <c r="F36" s="279"/>
    </row>
    <row r="37" spans="1:6" ht="65.099999999999994" hidden="1" customHeight="1">
      <c r="A37" s="322" t="s">
        <v>91</v>
      </c>
      <c r="B37" s="124" t="s">
        <v>92</v>
      </c>
      <c r="C37" s="328" t="s">
        <v>52</v>
      </c>
      <c r="D37" s="327" t="s">
        <v>53</v>
      </c>
      <c r="E37" s="287"/>
      <c r="F37" s="287"/>
    </row>
    <row r="38" spans="1:6" ht="65.099999999999994" hidden="1" customHeight="1">
      <c r="A38" s="322"/>
      <c r="B38" s="125" t="s">
        <v>93</v>
      </c>
      <c r="C38" s="329"/>
      <c r="D38" s="327"/>
      <c r="E38" s="356"/>
      <c r="F38" s="356"/>
    </row>
    <row r="39" spans="1:6" ht="89.1" hidden="1" customHeight="1">
      <c r="A39" s="59" t="s">
        <v>46</v>
      </c>
      <c r="B39" s="277" t="s">
        <v>32</v>
      </c>
      <c r="C39" s="277"/>
      <c r="D39" s="221" t="s">
        <v>33</v>
      </c>
      <c r="E39" s="221" t="s">
        <v>34</v>
      </c>
      <c r="F39" s="221" t="s">
        <v>49</v>
      </c>
    </row>
    <row r="40" spans="1:6" ht="65.099999999999994" hidden="1" customHeight="1">
      <c r="A40" s="261" t="s">
        <v>94</v>
      </c>
      <c r="B40" s="135" t="s">
        <v>95</v>
      </c>
      <c r="C40" s="263" t="s">
        <v>96</v>
      </c>
      <c r="D40" s="292" t="s">
        <v>53</v>
      </c>
      <c r="E40" s="278"/>
      <c r="F40" s="278"/>
    </row>
    <row r="41" spans="1:6" ht="65.099999999999994" hidden="1" customHeight="1">
      <c r="A41" s="288"/>
      <c r="B41" s="118" t="s">
        <v>97</v>
      </c>
      <c r="C41" s="291"/>
      <c r="D41" s="293"/>
      <c r="E41" s="279"/>
      <c r="F41" s="279"/>
    </row>
    <row r="42" spans="1:6" ht="65.099999999999994" hidden="1" customHeight="1">
      <c r="A42" s="288" t="s">
        <v>98</v>
      </c>
      <c r="B42" s="115" t="s">
        <v>99</v>
      </c>
      <c r="C42" s="291" t="s">
        <v>52</v>
      </c>
      <c r="D42" s="266" t="s">
        <v>53</v>
      </c>
      <c r="E42" s="287"/>
      <c r="F42" s="287"/>
    </row>
    <row r="43" spans="1:6" ht="65.099999999999994" hidden="1" customHeight="1">
      <c r="A43" s="262"/>
      <c r="B43" s="127" t="s">
        <v>100</v>
      </c>
      <c r="C43" s="264"/>
      <c r="D43" s="294"/>
      <c r="E43" s="278"/>
      <c r="F43" s="278"/>
    </row>
    <row r="44" spans="1:6" ht="89.1" customHeight="1">
      <c r="A44" s="59" t="s">
        <v>19</v>
      </c>
      <c r="B44" s="277" t="s">
        <v>32</v>
      </c>
      <c r="C44" s="277"/>
      <c r="D44" s="221" t="s">
        <v>33</v>
      </c>
      <c r="E44" s="221" t="s">
        <v>34</v>
      </c>
      <c r="F44" s="221" t="s">
        <v>49</v>
      </c>
    </row>
    <row r="45" spans="1:6" ht="65.099999999999994" customHeight="1">
      <c r="A45" s="136" t="s">
        <v>101</v>
      </c>
      <c r="B45" s="265" t="s">
        <v>102</v>
      </c>
      <c r="C45" s="265"/>
      <c r="D45" s="222" t="s">
        <v>64</v>
      </c>
      <c r="E45" s="144">
        <v>66000</v>
      </c>
      <c r="F45" s="219">
        <v>49249</v>
      </c>
    </row>
    <row r="46" spans="1:6" ht="65.099999999999994" customHeight="1">
      <c r="A46" s="288" t="s">
        <v>103</v>
      </c>
      <c r="B46" s="115" t="s">
        <v>104</v>
      </c>
      <c r="C46" s="291" t="s">
        <v>52</v>
      </c>
      <c r="D46" s="359" t="s">
        <v>57</v>
      </c>
      <c r="E46" s="284">
        <v>1</v>
      </c>
      <c r="F46" s="363">
        <v>1</v>
      </c>
    </row>
    <row r="47" spans="1:6" ht="65.099999999999994" customHeight="1">
      <c r="A47" s="288"/>
      <c r="B47" s="118" t="s">
        <v>105</v>
      </c>
      <c r="C47" s="291"/>
      <c r="D47" s="362"/>
      <c r="E47" s="286"/>
      <c r="F47" s="358"/>
    </row>
    <row r="48" spans="1:6" ht="65.099999999999994" hidden="1" customHeight="1">
      <c r="A48" s="288" t="s">
        <v>106</v>
      </c>
      <c r="B48" s="115" t="s">
        <v>107</v>
      </c>
      <c r="C48" s="291" t="s">
        <v>52</v>
      </c>
      <c r="D48" s="359" t="s">
        <v>57</v>
      </c>
      <c r="E48" s="287"/>
      <c r="F48" s="287"/>
    </row>
    <row r="49" spans="1:6" ht="65.099999999999994" hidden="1" customHeight="1">
      <c r="A49" s="262"/>
      <c r="B49" s="127" t="s">
        <v>108</v>
      </c>
      <c r="C49" s="264"/>
      <c r="D49" s="362"/>
      <c r="E49" s="278"/>
      <c r="F49" s="278"/>
    </row>
    <row r="50" spans="1:6" ht="89.1" customHeight="1">
      <c r="A50" s="59" t="s">
        <v>20</v>
      </c>
      <c r="B50" s="277" t="s">
        <v>32</v>
      </c>
      <c r="C50" s="277"/>
      <c r="D50" s="221" t="s">
        <v>33</v>
      </c>
      <c r="E50" s="221" t="s">
        <v>34</v>
      </c>
      <c r="F50" s="221" t="s">
        <v>49</v>
      </c>
    </row>
    <row r="51" spans="1:6" ht="65.099999999999994" hidden="1" customHeight="1">
      <c r="A51" s="261" t="s">
        <v>109</v>
      </c>
      <c r="B51" s="137" t="s">
        <v>110</v>
      </c>
      <c r="C51" s="289" t="s">
        <v>52</v>
      </c>
      <c r="D51" s="337" t="s">
        <v>53</v>
      </c>
      <c r="E51" s="278"/>
      <c r="F51" s="278"/>
    </row>
    <row r="52" spans="1:6" ht="65.099999999999994" hidden="1" customHeight="1">
      <c r="A52" s="288"/>
      <c r="B52" s="130" t="s">
        <v>111</v>
      </c>
      <c r="C52" s="290"/>
      <c r="D52" s="338"/>
      <c r="E52" s="279"/>
      <c r="F52" s="279"/>
    </row>
    <row r="53" spans="1:6" ht="65.099999999999994" customHeight="1">
      <c r="A53" s="313" t="s">
        <v>112</v>
      </c>
      <c r="B53" s="131" t="s">
        <v>113</v>
      </c>
      <c r="C53" s="317" t="s">
        <v>52</v>
      </c>
      <c r="D53" s="319" t="s">
        <v>53</v>
      </c>
      <c r="E53" s="284">
        <v>0.37</v>
      </c>
      <c r="F53" s="280">
        <v>0.13500000000000001</v>
      </c>
    </row>
    <row r="54" spans="1:6" ht="65.099999999999994" customHeight="1">
      <c r="A54" s="314"/>
      <c r="B54" s="138" t="s">
        <v>114</v>
      </c>
      <c r="C54" s="318"/>
      <c r="D54" s="320"/>
      <c r="E54" s="285"/>
      <c r="F54" s="281"/>
    </row>
    <row r="55" spans="1:6" ht="89.1" customHeight="1">
      <c r="A55" s="59" t="s">
        <v>21</v>
      </c>
      <c r="B55" s="277" t="s">
        <v>32</v>
      </c>
      <c r="C55" s="277"/>
      <c r="D55" s="221" t="s">
        <v>33</v>
      </c>
      <c r="E55" s="221" t="s">
        <v>34</v>
      </c>
      <c r="F55" s="221" t="s">
        <v>49</v>
      </c>
    </row>
    <row r="56" spans="1:6" ht="65.099999999999994" customHeight="1">
      <c r="A56" s="310" t="s">
        <v>115</v>
      </c>
      <c r="B56" s="135" t="s">
        <v>116</v>
      </c>
      <c r="C56" s="323" t="s">
        <v>52</v>
      </c>
      <c r="D56" s="294" t="s">
        <v>57</v>
      </c>
      <c r="E56" s="282">
        <f>18337/3012.718</f>
        <v>6.0865305016931561</v>
      </c>
      <c r="F56" s="366">
        <f>19774/3015.27</f>
        <v>6.5579533507778738</v>
      </c>
    </row>
    <row r="57" spans="1:6" ht="65.099999999999994" customHeight="1">
      <c r="A57" s="310"/>
      <c r="B57" s="127" t="s">
        <v>117</v>
      </c>
      <c r="C57" s="302"/>
      <c r="D57" s="265"/>
      <c r="E57" s="339"/>
      <c r="F57" s="367"/>
    </row>
    <row r="58" spans="1:6" ht="65.099999999999994" customHeight="1">
      <c r="A58" s="315" t="s">
        <v>118</v>
      </c>
      <c r="B58" s="128" t="s">
        <v>119</v>
      </c>
      <c r="C58" s="301" t="s">
        <v>52</v>
      </c>
      <c r="D58" s="266" t="s">
        <v>57</v>
      </c>
      <c r="E58" s="284">
        <f>175/17518</f>
        <v>9.9897248544354375E-3</v>
      </c>
      <c r="F58" s="368">
        <f>(54/19774)*100</f>
        <v>0.27308587033478304</v>
      </c>
    </row>
    <row r="59" spans="1:6" ht="65.099999999999994" customHeight="1">
      <c r="A59" s="316"/>
      <c r="B59" s="126" t="s">
        <v>120</v>
      </c>
      <c r="C59" s="323"/>
      <c r="D59" s="294"/>
      <c r="E59" s="285"/>
      <c r="F59" s="369"/>
    </row>
    <row r="60" spans="1:6" ht="89.1" customHeight="1">
      <c r="A60" s="59" t="s">
        <v>22</v>
      </c>
      <c r="B60" s="277" t="s">
        <v>32</v>
      </c>
      <c r="C60" s="277"/>
      <c r="D60" s="221" t="s">
        <v>33</v>
      </c>
      <c r="E60" s="221" t="s">
        <v>34</v>
      </c>
      <c r="F60" s="221" t="s">
        <v>49</v>
      </c>
    </row>
    <row r="61" spans="1:6" ht="65.099999999999994" customHeight="1">
      <c r="A61" s="261" t="s">
        <v>121</v>
      </c>
      <c r="B61" s="267" t="s">
        <v>122</v>
      </c>
      <c r="C61" s="267"/>
      <c r="D61" s="265" t="s">
        <v>123</v>
      </c>
      <c r="E61" s="282">
        <v>622.32000000000005</v>
      </c>
      <c r="F61" s="364">
        <f>Fontes!C11/5490</f>
        <v>630.70370856101999</v>
      </c>
    </row>
    <row r="62" spans="1:6" ht="65.099999999999994" customHeight="1">
      <c r="A62" s="288"/>
      <c r="B62" s="330" t="s">
        <v>124</v>
      </c>
      <c r="C62" s="330"/>
      <c r="D62" s="296"/>
      <c r="E62" s="283"/>
      <c r="F62" s="365"/>
    </row>
    <row r="63" spans="1:6" ht="65.099999999999994" customHeight="1">
      <c r="A63" s="288" t="s">
        <v>125</v>
      </c>
      <c r="B63" s="115" t="s">
        <v>126</v>
      </c>
      <c r="C63" s="291" t="s">
        <v>52</v>
      </c>
      <c r="D63" s="296" t="s">
        <v>123</v>
      </c>
      <c r="E63" s="331">
        <v>0.56323839916023621</v>
      </c>
      <c r="F63" s="311">
        <f>'Limites Estratégicos'!N7/Fontes!C11</f>
        <v>0.54346776198775471</v>
      </c>
    </row>
    <row r="64" spans="1:6" ht="65.099999999999994" customHeight="1">
      <c r="A64" s="288"/>
      <c r="B64" s="118" t="s">
        <v>122</v>
      </c>
      <c r="C64" s="291"/>
      <c r="D64" s="296"/>
      <c r="E64" s="332"/>
      <c r="F64" s="312"/>
    </row>
    <row r="65" spans="1:6" ht="65.099999999999994" customHeight="1">
      <c r="A65" s="288" t="s">
        <v>127</v>
      </c>
      <c r="B65" s="361" t="s">
        <v>128</v>
      </c>
      <c r="C65" s="361"/>
      <c r="D65" s="296" t="s">
        <v>123</v>
      </c>
      <c r="E65" s="335">
        <v>1.5</v>
      </c>
      <c r="F65" s="342">
        <f>2816955.78/264160.01</f>
        <v>10.663823718056339</v>
      </c>
    </row>
    <row r="66" spans="1:6" ht="65.099999999999994" customHeight="1">
      <c r="A66" s="288"/>
      <c r="B66" s="330" t="s">
        <v>129</v>
      </c>
      <c r="C66" s="330"/>
      <c r="D66" s="296"/>
      <c r="E66" s="336"/>
      <c r="F66" s="343"/>
    </row>
    <row r="67" spans="1:6" ht="65.099999999999994" customHeight="1">
      <c r="A67" s="288" t="s">
        <v>130</v>
      </c>
      <c r="B67" s="115" t="s">
        <v>131</v>
      </c>
      <c r="C67" s="291" t="s">
        <v>52</v>
      </c>
      <c r="D67" s="296" t="s">
        <v>123</v>
      </c>
      <c r="E67" s="333">
        <v>0.22500000000000001</v>
      </c>
      <c r="F67" s="311">
        <f>1413/5490</f>
        <v>0.25737704918032789</v>
      </c>
    </row>
    <row r="68" spans="1:6" ht="65.099999999999994" customHeight="1">
      <c r="A68" s="288"/>
      <c r="B68" s="118" t="s">
        <v>132</v>
      </c>
      <c r="C68" s="291"/>
      <c r="D68" s="296"/>
      <c r="E68" s="334"/>
      <c r="F68" s="312"/>
    </row>
    <row r="69" spans="1:6" ht="65.099999999999994" customHeight="1">
      <c r="A69" s="288" t="s">
        <v>133</v>
      </c>
      <c r="B69" s="361" t="s">
        <v>134</v>
      </c>
      <c r="C69" s="361" t="s">
        <v>52</v>
      </c>
      <c r="D69" s="296" t="s">
        <v>123</v>
      </c>
      <c r="E69" s="335">
        <v>0.42399999999999999</v>
      </c>
      <c r="F69" s="311">
        <f>496/850</f>
        <v>0.58352941176470585</v>
      </c>
    </row>
    <row r="70" spans="1:6" ht="65.099999999999994" customHeight="1">
      <c r="A70" s="288"/>
      <c r="B70" s="330" t="s">
        <v>135</v>
      </c>
      <c r="C70" s="330"/>
      <c r="D70" s="296"/>
      <c r="E70" s="336"/>
      <c r="F70" s="312"/>
    </row>
    <row r="71" spans="1:6" ht="89.1" hidden="1" customHeight="1">
      <c r="A71" s="59" t="s">
        <v>23</v>
      </c>
      <c r="B71" s="277" t="s">
        <v>32</v>
      </c>
      <c r="C71" s="277"/>
      <c r="D71" s="221" t="s">
        <v>33</v>
      </c>
      <c r="E71" s="221" t="s">
        <v>34</v>
      </c>
      <c r="F71" s="221" t="s">
        <v>49</v>
      </c>
    </row>
    <row r="72" spans="1:6" ht="65.099999999999994" hidden="1" customHeight="1">
      <c r="A72" s="261" t="s">
        <v>136</v>
      </c>
      <c r="B72" s="135" t="s">
        <v>137</v>
      </c>
      <c r="C72" s="263" t="s">
        <v>52</v>
      </c>
      <c r="D72" s="265" t="s">
        <v>123</v>
      </c>
      <c r="E72" s="278"/>
      <c r="F72" s="278"/>
    </row>
    <row r="73" spans="1:6" ht="65.099999999999994" hidden="1" customHeight="1">
      <c r="A73" s="262"/>
      <c r="B73" s="127" t="s">
        <v>138</v>
      </c>
      <c r="C73" s="264"/>
      <c r="D73" s="266"/>
      <c r="E73" s="278"/>
      <c r="F73" s="278"/>
    </row>
    <row r="74" spans="1:6" ht="89.1" hidden="1" customHeight="1">
      <c r="A74" s="59" t="s">
        <v>25</v>
      </c>
      <c r="B74" s="277" t="s">
        <v>32</v>
      </c>
      <c r="C74" s="277"/>
      <c r="D74" s="221" t="s">
        <v>33</v>
      </c>
      <c r="E74" s="221" t="s">
        <v>34</v>
      </c>
      <c r="F74" s="221" t="s">
        <v>49</v>
      </c>
    </row>
    <row r="75" spans="1:6" ht="65.099999999999994" hidden="1" customHeight="1">
      <c r="A75" s="261" t="s">
        <v>139</v>
      </c>
      <c r="B75" s="267" t="s">
        <v>140</v>
      </c>
      <c r="C75" s="267"/>
      <c r="D75" s="265" t="s">
        <v>53</v>
      </c>
      <c r="E75" s="278"/>
      <c r="F75" s="278"/>
    </row>
    <row r="76" spans="1:6" ht="65.099999999999994" hidden="1" customHeight="1">
      <c r="A76" s="262"/>
      <c r="B76" s="268" t="s">
        <v>141</v>
      </c>
      <c r="C76" s="268"/>
      <c r="D76" s="266"/>
      <c r="E76" s="278"/>
      <c r="F76" s="278"/>
    </row>
    <row r="77" spans="1:6" ht="89.1" hidden="1" customHeight="1">
      <c r="A77" s="59" t="s">
        <v>26</v>
      </c>
      <c r="B77" s="277" t="s">
        <v>32</v>
      </c>
      <c r="C77" s="277"/>
      <c r="D77" s="221" t="s">
        <v>33</v>
      </c>
      <c r="E77" s="221" t="s">
        <v>34</v>
      </c>
      <c r="F77" s="221" t="s">
        <v>49</v>
      </c>
    </row>
    <row r="78" spans="1:6" ht="65.099999999999994" hidden="1" customHeight="1">
      <c r="A78" s="261" t="s">
        <v>142</v>
      </c>
      <c r="B78" s="135" t="s">
        <v>143</v>
      </c>
      <c r="C78" s="263" t="s">
        <v>52</v>
      </c>
      <c r="D78" s="265" t="s">
        <v>53</v>
      </c>
      <c r="E78" s="278"/>
      <c r="F78" s="278"/>
    </row>
    <row r="79" spans="1:6" ht="65.099999999999994" hidden="1" customHeight="1">
      <c r="A79" s="262"/>
      <c r="B79" s="127" t="s">
        <v>144</v>
      </c>
      <c r="C79" s="264"/>
      <c r="D79" s="266"/>
      <c r="E79" s="278"/>
      <c r="F79" s="278"/>
    </row>
    <row r="80" spans="1:6" ht="89.1" hidden="1" customHeight="1">
      <c r="A80" s="59" t="s">
        <v>27</v>
      </c>
      <c r="B80" s="277" t="s">
        <v>32</v>
      </c>
      <c r="C80" s="277"/>
      <c r="D80" s="221" t="s">
        <v>33</v>
      </c>
      <c r="E80" s="221" t="s">
        <v>34</v>
      </c>
      <c r="F80" s="221" t="s">
        <v>49</v>
      </c>
    </row>
    <row r="81" spans="1:6" ht="65.099999999999994" hidden="1" customHeight="1">
      <c r="A81" s="261" t="s">
        <v>145</v>
      </c>
      <c r="B81" s="135" t="s">
        <v>146</v>
      </c>
      <c r="C81" s="263" t="s">
        <v>52</v>
      </c>
      <c r="D81" s="265" t="s">
        <v>123</v>
      </c>
      <c r="E81" s="278"/>
      <c r="F81" s="278"/>
    </row>
    <row r="82" spans="1:6" ht="65.099999999999994" hidden="1" customHeight="1">
      <c r="A82" s="288"/>
      <c r="B82" s="118" t="s">
        <v>147</v>
      </c>
      <c r="C82" s="291"/>
      <c r="D82" s="296"/>
      <c r="E82" s="279"/>
      <c r="F82" s="279"/>
    </row>
    <row r="83" spans="1:6" ht="65.099999999999994" hidden="1" customHeight="1">
      <c r="A83" s="288" t="s">
        <v>148</v>
      </c>
      <c r="B83" s="115" t="s">
        <v>149</v>
      </c>
      <c r="C83" s="291" t="s">
        <v>52</v>
      </c>
      <c r="D83" s="296" t="s">
        <v>123</v>
      </c>
      <c r="E83" s="287"/>
      <c r="F83" s="287"/>
    </row>
    <row r="84" spans="1:6" ht="65.099999999999994" hidden="1" customHeight="1">
      <c r="A84" s="288"/>
      <c r="B84" s="118" t="s">
        <v>150</v>
      </c>
      <c r="C84" s="291"/>
      <c r="D84" s="296"/>
      <c r="E84" s="279"/>
      <c r="F84" s="279"/>
    </row>
  </sheetData>
  <mergeCells count="179">
    <mergeCell ref="F78:F79"/>
    <mergeCell ref="F81:F82"/>
    <mergeCell ref="B44:C44"/>
    <mergeCell ref="D46:D47"/>
    <mergeCell ref="F46:F47"/>
    <mergeCell ref="D48:D49"/>
    <mergeCell ref="F48:F49"/>
    <mergeCell ref="B50:C50"/>
    <mergeCell ref="F61:F62"/>
    <mergeCell ref="F63:F64"/>
    <mergeCell ref="F56:F57"/>
    <mergeCell ref="D58:D59"/>
    <mergeCell ref="E58:E59"/>
    <mergeCell ref="F58:F59"/>
    <mergeCell ref="C58:C59"/>
    <mergeCell ref="B71:C71"/>
    <mergeCell ref="B74:C74"/>
    <mergeCell ref="B77:C77"/>
    <mergeCell ref="B80:C80"/>
    <mergeCell ref="E75:E76"/>
    <mergeCell ref="F65:F66"/>
    <mergeCell ref="F75:F76"/>
    <mergeCell ref="B62:C62"/>
    <mergeCell ref="A83:A84"/>
    <mergeCell ref="E72:E73"/>
    <mergeCell ref="C83:C84"/>
    <mergeCell ref="D83:D84"/>
    <mergeCell ref="F83:F84"/>
    <mergeCell ref="F32:F33"/>
    <mergeCell ref="F25:F26"/>
    <mergeCell ref="F27:F28"/>
    <mergeCell ref="B34:C34"/>
    <mergeCell ref="E35:E36"/>
    <mergeCell ref="F35:F36"/>
    <mergeCell ref="E37:E38"/>
    <mergeCell ref="F37:F38"/>
    <mergeCell ref="E25:E26"/>
    <mergeCell ref="E27:E28"/>
    <mergeCell ref="E30:E31"/>
    <mergeCell ref="F30:F31"/>
    <mergeCell ref="D32:D33"/>
    <mergeCell ref="E32:E33"/>
    <mergeCell ref="A65:A66"/>
    <mergeCell ref="B65:C65"/>
    <mergeCell ref="D65:D66"/>
    <mergeCell ref="B69:C69"/>
    <mergeCell ref="B70:C70"/>
    <mergeCell ref="F16:F17"/>
    <mergeCell ref="F18:F19"/>
    <mergeCell ref="F20:F21"/>
    <mergeCell ref="E22:E23"/>
    <mergeCell ref="F12:F13"/>
    <mergeCell ref="A18:A19"/>
    <mergeCell ref="C18:C19"/>
    <mergeCell ref="D18:D19"/>
    <mergeCell ref="A12:A13"/>
    <mergeCell ref="C12:C13"/>
    <mergeCell ref="D12:D13"/>
    <mergeCell ref="A14:A15"/>
    <mergeCell ref="C14:C15"/>
    <mergeCell ref="D14:D15"/>
    <mergeCell ref="A16:A17"/>
    <mergeCell ref="C16:C17"/>
    <mergeCell ref="E83:E84"/>
    <mergeCell ref="E81:E82"/>
    <mergeCell ref="B66:C66"/>
    <mergeCell ref="E63:E64"/>
    <mergeCell ref="E67:E68"/>
    <mergeCell ref="E69:E70"/>
    <mergeCell ref="E65:E66"/>
    <mergeCell ref="A30:A31"/>
    <mergeCell ref="A22:A23"/>
    <mergeCell ref="C22:C23"/>
    <mergeCell ref="D51:D52"/>
    <mergeCell ref="E51:E52"/>
    <mergeCell ref="C56:C57"/>
    <mergeCell ref="D56:D57"/>
    <mergeCell ref="E56:E57"/>
    <mergeCell ref="E40:E41"/>
    <mergeCell ref="E42:E43"/>
    <mergeCell ref="A81:A82"/>
    <mergeCell ref="C81:C82"/>
    <mergeCell ref="D81:D82"/>
    <mergeCell ref="A63:A64"/>
    <mergeCell ref="C63:C64"/>
    <mergeCell ref="D63:D64"/>
    <mergeCell ref="B24:C24"/>
    <mergeCell ref="A35:A36"/>
    <mergeCell ref="C30:C31"/>
    <mergeCell ref="D30:D31"/>
    <mergeCell ref="A32:A33"/>
    <mergeCell ref="C32:C33"/>
    <mergeCell ref="C35:C36"/>
    <mergeCell ref="D35:D36"/>
    <mergeCell ref="A37:A38"/>
    <mergeCell ref="C37:C38"/>
    <mergeCell ref="D37:D38"/>
    <mergeCell ref="B39:C39"/>
    <mergeCell ref="C46:C47"/>
    <mergeCell ref="A48:A49"/>
    <mergeCell ref="C48:C49"/>
    <mergeCell ref="A56:A57"/>
    <mergeCell ref="F42:F43"/>
    <mergeCell ref="F67:F68"/>
    <mergeCell ref="F69:F70"/>
    <mergeCell ref="F72:F73"/>
    <mergeCell ref="B45:C45"/>
    <mergeCell ref="A46:A47"/>
    <mergeCell ref="A40:A41"/>
    <mergeCell ref="C67:C68"/>
    <mergeCell ref="D67:D68"/>
    <mergeCell ref="A69:A70"/>
    <mergeCell ref="D69:D70"/>
    <mergeCell ref="A53:A54"/>
    <mergeCell ref="A58:A59"/>
    <mergeCell ref="B60:C60"/>
    <mergeCell ref="C53:C54"/>
    <mergeCell ref="D53:D54"/>
    <mergeCell ref="A61:A62"/>
    <mergeCell ref="B61:C61"/>
    <mergeCell ref="D61:D62"/>
    <mergeCell ref="A8:A9"/>
    <mergeCell ref="C8:C9"/>
    <mergeCell ref="D8:D9"/>
    <mergeCell ref="A20:A21"/>
    <mergeCell ref="C20:C21"/>
    <mergeCell ref="D20:D21"/>
    <mergeCell ref="D16:D17"/>
    <mergeCell ref="B29:C29"/>
    <mergeCell ref="D22:D23"/>
    <mergeCell ref="A25:A26"/>
    <mergeCell ref="C25:C26"/>
    <mergeCell ref="D25:D26"/>
    <mergeCell ref="A27:A28"/>
    <mergeCell ref="C27:C28"/>
    <mergeCell ref="D27:D28"/>
    <mergeCell ref="B11:C11"/>
    <mergeCell ref="A10:F10"/>
    <mergeCell ref="F22:F23"/>
    <mergeCell ref="E18:E19"/>
    <mergeCell ref="E12:E13"/>
    <mergeCell ref="E14:E15"/>
    <mergeCell ref="F8:F9"/>
    <mergeCell ref="F14:F15"/>
    <mergeCell ref="E16:E17"/>
    <mergeCell ref="A2:F2"/>
    <mergeCell ref="A3:F3"/>
    <mergeCell ref="A4:F4"/>
    <mergeCell ref="A6:F6"/>
    <mergeCell ref="E20:E21"/>
    <mergeCell ref="B7:C7"/>
    <mergeCell ref="E8:E9"/>
    <mergeCell ref="E78:E79"/>
    <mergeCell ref="F51:F52"/>
    <mergeCell ref="F53:F54"/>
    <mergeCell ref="E61:E62"/>
    <mergeCell ref="E53:E54"/>
    <mergeCell ref="E46:E47"/>
    <mergeCell ref="E48:E49"/>
    <mergeCell ref="F40:F41"/>
    <mergeCell ref="A51:A52"/>
    <mergeCell ref="C51:C52"/>
    <mergeCell ref="B55:C55"/>
    <mergeCell ref="C40:C41"/>
    <mergeCell ref="D40:D41"/>
    <mergeCell ref="A42:A43"/>
    <mergeCell ref="C42:C43"/>
    <mergeCell ref="D42:D43"/>
    <mergeCell ref="A67:A68"/>
    <mergeCell ref="A78:A79"/>
    <mergeCell ref="C78:C79"/>
    <mergeCell ref="D78:D79"/>
    <mergeCell ref="A72:A73"/>
    <mergeCell ref="C72:C73"/>
    <mergeCell ref="D72:D73"/>
    <mergeCell ref="A75:A76"/>
    <mergeCell ref="B75:C75"/>
    <mergeCell ref="D75:D76"/>
    <mergeCell ref="B76:C76"/>
  </mergeCells>
  <pageMargins left="0.511811024" right="0.511811024" top="0.78740157499999996" bottom="0.78740157499999996" header="0.31496062000000002" footer="0.31496062000000002"/>
  <pageSetup paperSize="9" scale="22" orientation="portrait" r:id="rId1"/>
  <ignoredErrors>
    <ignoredError sqref="E58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pageSetUpPr fitToPage="1"/>
  </sheetPr>
  <dimension ref="A2:AI30"/>
  <sheetViews>
    <sheetView showGridLines="0" topLeftCell="A5" zoomScale="60" zoomScaleNormal="60" zoomScaleSheetLayoutView="80" workbookViewId="0">
      <selection activeCell="E14" sqref="E14"/>
    </sheetView>
  </sheetViews>
  <sheetFormatPr defaultColWidth="9.140625" defaultRowHeight="21"/>
  <cols>
    <col min="1" max="1" width="35.140625" style="152" customWidth="1"/>
    <col min="2" max="2" width="11" style="152" customWidth="1"/>
    <col min="3" max="3" width="47.5703125" style="152" customWidth="1"/>
    <col min="4" max="4" width="64.28515625" style="152" customWidth="1"/>
    <col min="5" max="5" width="63.85546875" style="152" customWidth="1"/>
    <col min="6" max="6" width="21.85546875" style="152" customWidth="1"/>
    <col min="7" max="7" width="26.7109375" style="152" customWidth="1"/>
    <col min="8" max="8" width="20.5703125" style="152" customWidth="1"/>
    <col min="9" max="9" width="23.85546875" style="152" bestFit="1" customWidth="1"/>
    <col min="10" max="10" width="20.42578125" style="152" customWidth="1"/>
    <col min="11" max="11" width="13" style="152" hidden="1" customWidth="1"/>
    <col min="12" max="12" width="19.5703125" style="152" hidden="1" customWidth="1"/>
    <col min="13" max="13" width="20.28515625" style="152" hidden="1" customWidth="1"/>
    <col min="14" max="14" width="0" style="152" hidden="1" customWidth="1"/>
    <col min="15" max="16" width="13" style="152" hidden="1" customWidth="1"/>
    <col min="17" max="17" width="14.7109375" style="152" hidden="1" customWidth="1"/>
    <col min="18" max="21" width="19.85546875" style="154" hidden="1" customWidth="1"/>
    <col min="22" max="22" width="21.5703125" style="154" hidden="1" customWidth="1"/>
    <col min="23" max="23" width="19.85546875" style="154" hidden="1" customWidth="1"/>
    <col min="24" max="24" width="5" style="156" hidden="1" customWidth="1"/>
    <col min="25" max="25" width="17.7109375" style="156" hidden="1" customWidth="1"/>
    <col min="26" max="26" width="21.28515625" style="156" hidden="1" customWidth="1"/>
    <col min="27" max="27" width="5" style="156" hidden="1" customWidth="1"/>
    <col min="28" max="28" width="17.7109375" style="156" hidden="1" customWidth="1"/>
    <col min="29" max="29" width="21.28515625" style="156" hidden="1" customWidth="1"/>
    <col min="30" max="35" width="17.5703125" style="156" hidden="1" customWidth="1"/>
    <col min="36" max="16384" width="9.140625" style="2"/>
  </cols>
  <sheetData>
    <row r="2" spans="1:35" ht="86.25" customHeight="1"/>
    <row r="3" spans="1:35" s="3" customFormat="1" ht="30.75" customHeight="1">
      <c r="A3" s="374" t="s">
        <v>151</v>
      </c>
      <c r="B3" s="374"/>
      <c r="C3" s="374"/>
      <c r="D3" s="374"/>
      <c r="E3" s="374"/>
      <c r="F3" s="374"/>
      <c r="G3" s="374"/>
      <c r="H3" s="374"/>
      <c r="I3" s="374"/>
      <c r="J3" s="374"/>
      <c r="K3" s="153"/>
      <c r="L3" s="153"/>
      <c r="M3" s="153"/>
      <c r="N3" s="153"/>
      <c r="O3" s="153"/>
      <c r="P3" s="153"/>
      <c r="Q3" s="153"/>
      <c r="R3" s="155"/>
      <c r="S3" s="155"/>
      <c r="T3" s="155"/>
      <c r="U3" s="155"/>
      <c r="V3" s="155"/>
      <c r="W3" s="155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</row>
    <row r="4" spans="1:35" s="3" customFormat="1" ht="30" customHeight="1">
      <c r="A4" s="383" t="s">
        <v>152</v>
      </c>
      <c r="B4" s="384"/>
      <c r="C4" s="384"/>
      <c r="D4" s="384"/>
      <c r="E4" s="384"/>
      <c r="F4" s="384"/>
      <c r="G4" s="384"/>
      <c r="H4" s="384"/>
      <c r="I4" s="384"/>
      <c r="J4" s="385"/>
      <c r="K4" s="153"/>
      <c r="L4" s="153"/>
      <c r="M4" s="153"/>
      <c r="N4" s="153"/>
      <c r="O4" s="153"/>
      <c r="P4" s="153"/>
      <c r="Q4" s="153"/>
      <c r="R4" s="155"/>
      <c r="S4" s="155"/>
      <c r="T4" s="155"/>
      <c r="U4" s="155"/>
      <c r="V4" s="155"/>
      <c r="W4" s="155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</row>
    <row r="5" spans="1:35" s="3" customFormat="1" ht="30" customHeight="1">
      <c r="A5" s="376" t="str">
        <f>'Matriz Objetivos x Projetos'!A7:W7</f>
        <v xml:space="preserve">CAU/UF:  </v>
      </c>
      <c r="B5" s="376"/>
      <c r="C5" s="376"/>
      <c r="D5" s="376"/>
      <c r="E5" s="376"/>
      <c r="F5" s="376"/>
      <c r="G5" s="376"/>
      <c r="H5" s="376"/>
      <c r="I5" s="376"/>
      <c r="J5" s="376"/>
      <c r="K5" s="153"/>
      <c r="L5" s="153"/>
      <c r="M5" s="153"/>
      <c r="N5" s="153"/>
      <c r="O5" s="153"/>
      <c r="P5" s="153"/>
      <c r="Q5" s="153"/>
      <c r="R5" s="155"/>
      <c r="S5" s="155"/>
      <c r="T5" s="155"/>
      <c r="U5" s="155"/>
      <c r="V5" s="155"/>
      <c r="W5" s="155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3" customFormat="1" ht="30" customHeight="1">
      <c r="A6" s="376" t="s">
        <v>153</v>
      </c>
      <c r="B6" s="376"/>
      <c r="C6" s="376"/>
      <c r="D6" s="376"/>
      <c r="E6" s="376"/>
      <c r="F6" s="376"/>
      <c r="G6" s="376"/>
      <c r="H6" s="376"/>
      <c r="I6" s="376"/>
      <c r="J6" s="376"/>
      <c r="K6" s="153"/>
      <c r="L6" s="153"/>
      <c r="M6" s="153"/>
      <c r="N6" s="153"/>
      <c r="O6" s="153"/>
      <c r="P6" s="153"/>
      <c r="Q6" s="153"/>
      <c r="R6" s="155"/>
      <c r="S6" s="155"/>
      <c r="T6" s="155"/>
      <c r="U6" s="155"/>
      <c r="V6" s="155"/>
      <c r="W6" s="155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5" s="3" customFormat="1" ht="30" customHeight="1">
      <c r="A7" s="376" t="s">
        <v>154</v>
      </c>
      <c r="B7" s="376"/>
      <c r="C7" s="376"/>
      <c r="D7" s="376"/>
      <c r="E7" s="376"/>
      <c r="F7" s="376"/>
      <c r="G7" s="376"/>
      <c r="H7" s="376"/>
      <c r="I7" s="376"/>
      <c r="J7" s="376" t="s">
        <v>155</v>
      </c>
      <c r="K7" s="153"/>
      <c r="L7" s="153"/>
      <c r="M7" s="153"/>
      <c r="N7" s="153"/>
      <c r="O7" s="153"/>
      <c r="P7" s="153"/>
      <c r="Q7" s="153"/>
      <c r="R7" s="155"/>
      <c r="S7" s="155"/>
      <c r="T7" s="155"/>
      <c r="U7" s="155"/>
      <c r="V7" s="155"/>
      <c r="W7" s="155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</row>
    <row r="8" spans="1:35" s="3" customFormat="1" ht="39" customHeight="1">
      <c r="A8" s="379" t="s">
        <v>156</v>
      </c>
      <c r="B8" s="377" t="s">
        <v>157</v>
      </c>
      <c r="C8" s="377" t="s">
        <v>158</v>
      </c>
      <c r="D8" s="377" t="s">
        <v>159</v>
      </c>
      <c r="E8" s="375" t="s">
        <v>160</v>
      </c>
      <c r="F8" s="377" t="s">
        <v>161</v>
      </c>
      <c r="G8" s="377" t="s">
        <v>162</v>
      </c>
      <c r="H8" s="377" t="s">
        <v>163</v>
      </c>
      <c r="I8" s="377" t="s">
        <v>164</v>
      </c>
      <c r="J8" s="378"/>
      <c r="K8" s="153"/>
      <c r="L8" s="153"/>
      <c r="M8" s="153"/>
      <c r="N8" s="153"/>
      <c r="O8" s="153"/>
      <c r="P8" s="153"/>
      <c r="Q8" s="153"/>
      <c r="R8" s="155"/>
      <c r="S8" s="155"/>
      <c r="T8" s="155"/>
      <c r="U8" s="155"/>
      <c r="V8" s="155"/>
      <c r="W8" s="155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</row>
    <row r="9" spans="1:35" s="3" customFormat="1" ht="84.75" customHeight="1">
      <c r="A9" s="380"/>
      <c r="B9" s="375"/>
      <c r="C9" s="375"/>
      <c r="D9" s="375"/>
      <c r="E9" s="375"/>
      <c r="F9" s="375"/>
      <c r="G9" s="375"/>
      <c r="H9" s="375"/>
      <c r="I9" s="223" t="s">
        <v>165</v>
      </c>
      <c r="J9" s="223" t="s">
        <v>166</v>
      </c>
      <c r="K9" s="153"/>
      <c r="L9" s="153"/>
      <c r="M9" s="153"/>
      <c r="N9" s="153"/>
      <c r="O9" s="153"/>
      <c r="P9" s="153"/>
      <c r="Q9" s="153"/>
      <c r="R9" s="155"/>
      <c r="S9" s="155"/>
      <c r="T9" s="155"/>
      <c r="U9" s="155"/>
      <c r="V9" s="155"/>
      <c r="W9" s="155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</row>
    <row r="10" spans="1:35" s="3" customFormat="1" ht="129" customHeight="1">
      <c r="A10" s="158" t="s">
        <v>167</v>
      </c>
      <c r="B10" s="159" t="s">
        <v>168</v>
      </c>
      <c r="C10" s="160" t="s">
        <v>169</v>
      </c>
      <c r="D10" s="161" t="s">
        <v>23</v>
      </c>
      <c r="E10" s="160" t="s">
        <v>170</v>
      </c>
      <c r="F10" s="205">
        <f>V10</f>
        <v>1665063.9800000004</v>
      </c>
      <c r="G10" s="170">
        <f>F10+8000</f>
        <v>1673063.9800000004</v>
      </c>
      <c r="H10" s="170">
        <v>1536711.71</v>
      </c>
      <c r="I10" s="171">
        <f t="shared" ref="I10:I22" si="0">H10-F10</f>
        <v>-128352.27000000048</v>
      </c>
      <c r="J10" s="163">
        <f t="shared" ref="J10:J22" si="1">IFERROR(I10/F10*100,)</f>
        <v>-7.7085488330604841</v>
      </c>
      <c r="K10" s="147">
        <f t="shared" ref="K10:K22" si="2">H10/G10</f>
        <v>0.91850146101406094</v>
      </c>
      <c r="L10" s="162">
        <f>1536711.71-G20</f>
        <v>1521717.71</v>
      </c>
      <c r="M10" s="153"/>
      <c r="N10" s="153"/>
      <c r="O10" s="153"/>
      <c r="P10" s="153"/>
      <c r="Q10" s="153"/>
      <c r="R10" s="155" t="b">
        <f>A10=[1]FORM.2!A8</f>
        <v>1</v>
      </c>
      <c r="S10" s="155" t="b">
        <f>C10=[1]FORM.2!D8</f>
        <v>1</v>
      </c>
      <c r="T10" s="155" t="b">
        <f>D10=[1]FORM.2!F8</f>
        <v>1</v>
      </c>
      <c r="U10" s="155" t="b">
        <f>E10=[1]FORM.2!G8</f>
        <v>1</v>
      </c>
      <c r="V10" s="155">
        <f>[1]FORM.2!K8</f>
        <v>1665063.9800000004</v>
      </c>
      <c r="W10" s="155" t="b">
        <f>F10=[1]FORM.2!K8</f>
        <v>1</v>
      </c>
      <c r="X10" s="157">
        <f>F10-V10</f>
        <v>0</v>
      </c>
      <c r="Y10" s="157">
        <f>Demonstrativo!B34</f>
        <v>1673063.98</v>
      </c>
      <c r="Z10" s="157" t="b">
        <f>Y10=G10</f>
        <v>1</v>
      </c>
      <c r="AA10" s="157">
        <f>Y10-G10</f>
        <v>0</v>
      </c>
      <c r="AB10" s="157">
        <f>Demonstrativo!C34</f>
        <v>1536711.71</v>
      </c>
      <c r="AC10" s="157" t="b">
        <f>H10=AB10</f>
        <v>1</v>
      </c>
      <c r="AD10" s="157"/>
      <c r="AE10" s="157"/>
      <c r="AF10" s="157"/>
      <c r="AG10" s="157"/>
      <c r="AH10" s="157"/>
      <c r="AI10" s="157"/>
    </row>
    <row r="11" spans="1:35" s="3" customFormat="1" ht="138" customHeight="1">
      <c r="A11" s="158" t="s">
        <v>171</v>
      </c>
      <c r="B11" s="159" t="s">
        <v>172</v>
      </c>
      <c r="C11" s="160" t="s">
        <v>173</v>
      </c>
      <c r="D11" s="161" t="s">
        <v>19</v>
      </c>
      <c r="E11" s="206" t="s">
        <v>174</v>
      </c>
      <c r="F11" s="205">
        <v>163512</v>
      </c>
      <c r="G11" s="170">
        <f t="shared" ref="G11:G19" si="3">F11+0</f>
        <v>163512</v>
      </c>
      <c r="H11" s="170">
        <v>122594.55</v>
      </c>
      <c r="I11" s="171">
        <f t="shared" si="0"/>
        <v>-40917.449999999997</v>
      </c>
      <c r="J11" s="163">
        <f t="shared" si="1"/>
        <v>-25.024126669602232</v>
      </c>
      <c r="K11" s="147">
        <f t="shared" si="2"/>
        <v>0.74975873330397769</v>
      </c>
      <c r="L11" s="162">
        <v>122594.55</v>
      </c>
      <c r="M11" s="153"/>
      <c r="N11" s="153"/>
      <c r="O11" s="153"/>
      <c r="P11" s="153"/>
      <c r="Q11" s="153"/>
      <c r="R11" s="155" t="b">
        <f>A11=[1]FORM.2!A9</f>
        <v>1</v>
      </c>
      <c r="S11" s="155" t="b">
        <f>C11=[1]FORM.2!D9</f>
        <v>1</v>
      </c>
      <c r="T11" s="155" t="b">
        <f>D11=[1]FORM.2!F9</f>
        <v>1</v>
      </c>
      <c r="U11" s="155" t="b">
        <f>E11=[1]FORM.2!G9</f>
        <v>1</v>
      </c>
      <c r="V11" s="155">
        <f>[1]FORM.2!K9</f>
        <v>163512</v>
      </c>
      <c r="W11" s="155" t="b">
        <f>F11=[1]FORM.2!K9</f>
        <v>1</v>
      </c>
      <c r="X11" s="157">
        <f t="shared" ref="X11:X22" si="4">F11-V11</f>
        <v>0</v>
      </c>
      <c r="Y11" s="157">
        <f>Demonstrativo!B22</f>
        <v>163512</v>
      </c>
      <c r="Z11" s="157" t="b">
        <f t="shared" ref="Z11:Z22" si="5">Y11=G11</f>
        <v>1</v>
      </c>
      <c r="AA11" s="157">
        <f t="shared" ref="AA11:AA22" si="6">Y11-G11</f>
        <v>0</v>
      </c>
      <c r="AB11" s="157">
        <f>Demonstrativo!C22</f>
        <v>122594.55</v>
      </c>
      <c r="AC11" s="157" t="b">
        <f t="shared" ref="AC11:AC22" si="7">H11=AB11</f>
        <v>1</v>
      </c>
      <c r="AD11" s="157"/>
      <c r="AE11" s="157"/>
      <c r="AF11" s="157"/>
      <c r="AG11" s="157"/>
      <c r="AH11" s="157"/>
      <c r="AI11" s="157"/>
    </row>
    <row r="12" spans="1:35" s="3" customFormat="1" ht="90" customHeight="1">
      <c r="A12" s="158" t="s">
        <v>175</v>
      </c>
      <c r="B12" s="159" t="s">
        <v>168</v>
      </c>
      <c r="C12" s="206" t="s">
        <v>176</v>
      </c>
      <c r="D12" s="161" t="s">
        <v>13</v>
      </c>
      <c r="E12" s="160" t="s">
        <v>177</v>
      </c>
      <c r="F12" s="205">
        <f>V12</f>
        <v>700448.05</v>
      </c>
      <c r="G12" s="170">
        <f t="shared" si="3"/>
        <v>700448.05</v>
      </c>
      <c r="H12" s="170">
        <v>685964.28</v>
      </c>
      <c r="I12" s="171">
        <f t="shared" si="0"/>
        <v>-14483.770000000019</v>
      </c>
      <c r="J12" s="163">
        <f t="shared" si="1"/>
        <v>-2.0677864689608341</v>
      </c>
      <c r="K12" s="147">
        <f t="shared" si="2"/>
        <v>0.97932213531039169</v>
      </c>
      <c r="L12" s="162">
        <v>685964.28</v>
      </c>
      <c r="M12" s="153"/>
      <c r="N12" s="153"/>
      <c r="O12" s="164">
        <f>G12+G15</f>
        <v>917523.37000000011</v>
      </c>
      <c r="P12" s="164">
        <f>H12+H15</f>
        <v>903039.48</v>
      </c>
      <c r="Q12" s="165">
        <f>P12/O12</f>
        <v>0.98421414595684886</v>
      </c>
      <c r="R12" s="155" t="b">
        <f>A12=[1]FORM.2!A10</f>
        <v>1</v>
      </c>
      <c r="S12" s="155" t="b">
        <f>C12=[1]FORM.2!D10</f>
        <v>1</v>
      </c>
      <c r="T12" s="155" t="b">
        <f>D12=[1]FORM.2!F10</f>
        <v>1</v>
      </c>
      <c r="U12" s="155" t="b">
        <f>E12=[1]FORM.2!G10</f>
        <v>1</v>
      </c>
      <c r="V12" s="155">
        <f>[1]FORM.2!K10</f>
        <v>700448.05</v>
      </c>
      <c r="W12" s="155" t="b">
        <f>F12=[1]FORM.2!K10</f>
        <v>1</v>
      </c>
      <c r="X12" s="157">
        <f t="shared" si="4"/>
        <v>0</v>
      </c>
      <c r="Y12" s="157">
        <f>Demonstrativo!B30</f>
        <v>700448.05</v>
      </c>
      <c r="Z12" s="157" t="b">
        <f t="shared" si="5"/>
        <v>1</v>
      </c>
      <c r="AA12" s="157">
        <f t="shared" si="6"/>
        <v>0</v>
      </c>
      <c r="AB12" s="157">
        <f>Demonstrativo!C30</f>
        <v>685964.28</v>
      </c>
      <c r="AC12" s="157" t="b">
        <f t="shared" si="7"/>
        <v>1</v>
      </c>
      <c r="AD12" s="157"/>
      <c r="AE12" s="157"/>
      <c r="AF12" s="157"/>
      <c r="AG12" s="157"/>
      <c r="AH12" s="157"/>
      <c r="AI12" s="157"/>
    </row>
    <row r="13" spans="1:35" s="3" customFormat="1" ht="130.5" customHeight="1">
      <c r="A13" s="158" t="s">
        <v>178</v>
      </c>
      <c r="B13" s="159" t="s">
        <v>168</v>
      </c>
      <c r="C13" s="160" t="s">
        <v>179</v>
      </c>
      <c r="D13" s="161" t="s">
        <v>14</v>
      </c>
      <c r="E13" s="206" t="s">
        <v>180</v>
      </c>
      <c r="F13" s="205">
        <f t="shared" ref="F13:F17" si="8">V13</f>
        <v>383713.94999999995</v>
      </c>
      <c r="G13" s="170">
        <f t="shared" si="3"/>
        <v>383713.94999999995</v>
      </c>
      <c r="H13" s="170">
        <v>373542.34</v>
      </c>
      <c r="I13" s="171">
        <f t="shared" si="0"/>
        <v>-10171.609999999928</v>
      </c>
      <c r="J13" s="163">
        <f t="shared" si="1"/>
        <v>-2.6508314331548095</v>
      </c>
      <c r="K13" s="147">
        <f t="shared" si="2"/>
        <v>0.9734916856684519</v>
      </c>
      <c r="L13" s="162">
        <v>373542.34</v>
      </c>
      <c r="M13" s="153"/>
      <c r="N13" s="153"/>
      <c r="O13" s="164">
        <f>G13+G16</f>
        <v>423836.87999999995</v>
      </c>
      <c r="P13" s="164">
        <f>H13+H16</f>
        <v>413665.14</v>
      </c>
      <c r="Q13" s="165">
        <f>P13/O13</f>
        <v>0.97600081427552998</v>
      </c>
      <c r="R13" s="155" t="b">
        <f>A13=[1]FORM.2!A11</f>
        <v>1</v>
      </c>
      <c r="S13" s="155" t="b">
        <f>C13=[1]FORM.2!D11</f>
        <v>1</v>
      </c>
      <c r="T13" s="155" t="b">
        <f>D13=[1]FORM.2!F11</f>
        <v>1</v>
      </c>
      <c r="U13" s="155" t="b">
        <f>E13=[1]FORM.2!G11</f>
        <v>1</v>
      </c>
      <c r="V13" s="155">
        <f>[1]FORM.2!K11</f>
        <v>383713.94999999995</v>
      </c>
      <c r="W13" s="155" t="b">
        <f>F13=[1]FORM.2!K11</f>
        <v>1</v>
      </c>
      <c r="X13" s="157">
        <f t="shared" si="4"/>
        <v>0</v>
      </c>
      <c r="Y13" s="157">
        <f>Demonstrativo!B28</f>
        <v>383713.95</v>
      </c>
      <c r="Z13" s="157" t="b">
        <f t="shared" si="5"/>
        <v>1</v>
      </c>
      <c r="AA13" s="157">
        <f t="shared" si="6"/>
        <v>0</v>
      </c>
      <c r="AB13" s="157">
        <f>Demonstrativo!C28</f>
        <v>373542.34</v>
      </c>
      <c r="AC13" s="157" t="b">
        <f t="shared" si="7"/>
        <v>1</v>
      </c>
      <c r="AD13" s="157"/>
      <c r="AE13" s="157"/>
      <c r="AF13" s="157"/>
      <c r="AG13" s="157"/>
      <c r="AH13" s="157"/>
      <c r="AI13" s="157"/>
    </row>
    <row r="14" spans="1:35" s="3" customFormat="1" ht="90" customHeight="1">
      <c r="A14" s="158" t="s">
        <v>167</v>
      </c>
      <c r="B14" s="159" t="s">
        <v>172</v>
      </c>
      <c r="C14" s="160" t="s">
        <v>181</v>
      </c>
      <c r="D14" s="161" t="s">
        <v>25</v>
      </c>
      <c r="E14" s="160" t="s">
        <v>182</v>
      </c>
      <c r="F14" s="205">
        <f t="shared" si="8"/>
        <v>69700.02</v>
      </c>
      <c r="G14" s="170">
        <f t="shared" si="3"/>
        <v>69700.02</v>
      </c>
      <c r="H14" s="170">
        <v>57088.7</v>
      </c>
      <c r="I14" s="171">
        <f t="shared" si="0"/>
        <v>-12611.320000000007</v>
      </c>
      <c r="J14" s="163">
        <f t="shared" si="1"/>
        <v>-18.093710733511994</v>
      </c>
      <c r="K14" s="147">
        <f t="shared" si="2"/>
        <v>0.81906289266488008</v>
      </c>
      <c r="L14" s="162">
        <v>57088.7</v>
      </c>
      <c r="M14" s="153"/>
      <c r="N14" s="153"/>
      <c r="O14" s="153"/>
      <c r="P14" s="153"/>
      <c r="Q14" s="153"/>
      <c r="R14" s="155" t="b">
        <f>A14=[1]FORM.2!A12</f>
        <v>1</v>
      </c>
      <c r="S14" s="155" t="b">
        <f>C14=[1]FORM.2!D12</f>
        <v>1</v>
      </c>
      <c r="T14" s="155" t="b">
        <f>D14=[1]FORM.2!F12</f>
        <v>1</v>
      </c>
      <c r="U14" s="155" t="b">
        <f>E14=[1]FORM.2!G12</f>
        <v>1</v>
      </c>
      <c r="V14" s="155">
        <f>[1]FORM.2!K12</f>
        <v>69700.02</v>
      </c>
      <c r="W14" s="155" t="b">
        <f>F14=[1]FORM.2!K12</f>
        <v>1</v>
      </c>
      <c r="X14" s="157">
        <f t="shared" si="4"/>
        <v>0</v>
      </c>
      <c r="Y14" s="157">
        <f>Demonstrativo!B38</f>
        <v>69700.02</v>
      </c>
      <c r="Z14" s="157" t="b">
        <f t="shared" si="5"/>
        <v>1</v>
      </c>
      <c r="AA14" s="157">
        <f t="shared" si="6"/>
        <v>0</v>
      </c>
      <c r="AB14" s="157">
        <f>Demonstrativo!C38</f>
        <v>57088.7</v>
      </c>
      <c r="AC14" s="157" t="b">
        <f t="shared" si="7"/>
        <v>1</v>
      </c>
      <c r="AD14" s="157"/>
      <c r="AE14" s="157"/>
      <c r="AF14" s="157"/>
      <c r="AG14" s="157"/>
      <c r="AH14" s="157"/>
      <c r="AI14" s="157"/>
    </row>
    <row r="15" spans="1:35" s="3" customFormat="1" ht="90" customHeight="1">
      <c r="A15" s="158" t="s">
        <v>183</v>
      </c>
      <c r="B15" s="159" t="s">
        <v>168</v>
      </c>
      <c r="C15" s="160" t="s">
        <v>184</v>
      </c>
      <c r="D15" s="161" t="s">
        <v>13</v>
      </c>
      <c r="E15" s="160" t="s">
        <v>185</v>
      </c>
      <c r="F15" s="205">
        <f t="shared" si="8"/>
        <v>217075.11</v>
      </c>
      <c r="G15" s="205">
        <f>Y15</f>
        <v>217075.32</v>
      </c>
      <c r="H15" s="170">
        <v>217075.20000000001</v>
      </c>
      <c r="I15" s="171">
        <f t="shared" si="0"/>
        <v>9.0000000025611371E-2</v>
      </c>
      <c r="J15" s="163">
        <f t="shared" si="1"/>
        <v>4.1460303774859941E-5</v>
      </c>
      <c r="K15" s="147">
        <f t="shared" si="2"/>
        <v>0.99999944719648459</v>
      </c>
      <c r="L15" s="162">
        <v>217075.20000000001</v>
      </c>
      <c r="M15" s="153"/>
      <c r="N15" s="153"/>
      <c r="O15" s="153"/>
      <c r="P15" s="153"/>
      <c r="Q15" s="153"/>
      <c r="R15" s="155" t="b">
        <f>A15=[1]FORM.2!A13</f>
        <v>1</v>
      </c>
      <c r="S15" s="155" t="b">
        <f>C15=[1]FORM.2!D13</f>
        <v>1</v>
      </c>
      <c r="T15" s="155" t="b">
        <f>D15=[1]FORM.2!F13</f>
        <v>1</v>
      </c>
      <c r="U15" s="155" t="b">
        <f>E15=[1]FORM.2!G13</f>
        <v>1</v>
      </c>
      <c r="V15" s="155">
        <f>[1]FORM.2!K13</f>
        <v>217075.11</v>
      </c>
      <c r="W15" s="155" t="b">
        <f>F15=[1]FORM.2!K13</f>
        <v>1</v>
      </c>
      <c r="X15" s="157">
        <f t="shared" si="4"/>
        <v>0</v>
      </c>
      <c r="Y15" s="157">
        <f>Demonstrativo!B52</f>
        <v>217075.32</v>
      </c>
      <c r="Z15" s="157" t="b">
        <f t="shared" si="5"/>
        <v>1</v>
      </c>
      <c r="AA15" s="157">
        <f t="shared" si="6"/>
        <v>0</v>
      </c>
      <c r="AB15" s="157">
        <f>Demonstrativo!C52</f>
        <v>217075.20000000001</v>
      </c>
      <c r="AC15" s="157" t="b">
        <f t="shared" si="7"/>
        <v>1</v>
      </c>
      <c r="AD15" s="157"/>
      <c r="AE15" s="157"/>
      <c r="AF15" s="157"/>
      <c r="AG15" s="157"/>
      <c r="AH15" s="157"/>
      <c r="AI15" s="157"/>
    </row>
    <row r="16" spans="1:35" s="3" customFormat="1" ht="90" customHeight="1">
      <c r="A16" s="158" t="s">
        <v>183</v>
      </c>
      <c r="B16" s="159" t="s">
        <v>168</v>
      </c>
      <c r="C16" s="160" t="s">
        <v>186</v>
      </c>
      <c r="D16" s="161" t="s">
        <v>14</v>
      </c>
      <c r="E16" s="160" t="s">
        <v>185</v>
      </c>
      <c r="F16" s="205">
        <f t="shared" si="8"/>
        <v>40122.89</v>
      </c>
      <c r="G16" s="205">
        <f>Y16</f>
        <v>40122.93</v>
      </c>
      <c r="H16" s="170">
        <v>40122.800000000003</v>
      </c>
      <c r="I16" s="171">
        <f t="shared" si="0"/>
        <v>-8.999999999650754E-2</v>
      </c>
      <c r="J16" s="163">
        <f t="shared" si="1"/>
        <v>-2.2431086094871916E-4</v>
      </c>
      <c r="K16" s="147">
        <f t="shared" si="2"/>
        <v>0.99999675995746085</v>
      </c>
      <c r="L16" s="162">
        <v>40122.800000000003</v>
      </c>
      <c r="M16" s="153"/>
      <c r="N16" s="153"/>
      <c r="O16" s="153"/>
      <c r="P16" s="153"/>
      <c r="Q16" s="153"/>
      <c r="R16" s="155" t="b">
        <f>A16=[1]FORM.2!A14</f>
        <v>1</v>
      </c>
      <c r="S16" s="155" t="b">
        <f>C16=[1]FORM.2!D14</f>
        <v>1</v>
      </c>
      <c r="T16" s="155" t="b">
        <f>D16=[1]FORM.2!F14</f>
        <v>1</v>
      </c>
      <c r="U16" s="155" t="b">
        <f>E16=[1]FORM.2!G14</f>
        <v>1</v>
      </c>
      <c r="V16" s="155">
        <f>[1]FORM.2!K14</f>
        <v>40122.89</v>
      </c>
      <c r="W16" s="155" t="b">
        <f>F16=[1]FORM.2!K14</f>
        <v>1</v>
      </c>
      <c r="X16" s="157">
        <f t="shared" si="4"/>
        <v>0</v>
      </c>
      <c r="Y16" s="157">
        <f>Demonstrativo!B54</f>
        <v>40122.93</v>
      </c>
      <c r="Z16" s="157" t="b">
        <f t="shared" si="5"/>
        <v>1</v>
      </c>
      <c r="AA16" s="157">
        <f t="shared" si="6"/>
        <v>0</v>
      </c>
      <c r="AB16" s="157">
        <f>Demonstrativo!C54</f>
        <v>40122.800000000003</v>
      </c>
      <c r="AC16" s="157" t="b">
        <f t="shared" si="7"/>
        <v>1</v>
      </c>
      <c r="AD16" s="157"/>
      <c r="AE16" s="157"/>
      <c r="AF16" s="157"/>
      <c r="AG16" s="157"/>
      <c r="AH16" s="157"/>
      <c r="AI16" s="157"/>
    </row>
    <row r="17" spans="1:35" s="3" customFormat="1" ht="90" customHeight="1">
      <c r="A17" s="158" t="s">
        <v>187</v>
      </c>
      <c r="B17" s="159" t="s">
        <v>168</v>
      </c>
      <c r="C17" s="160" t="s">
        <v>188</v>
      </c>
      <c r="D17" s="161" t="s">
        <v>22</v>
      </c>
      <c r="E17" s="160" t="s">
        <v>189</v>
      </c>
      <c r="F17" s="205">
        <f t="shared" si="8"/>
        <v>57234.05</v>
      </c>
      <c r="G17" s="205">
        <f>Y17</f>
        <v>57234.1</v>
      </c>
      <c r="H17" s="170">
        <v>57234.1</v>
      </c>
      <c r="I17" s="171">
        <f t="shared" si="0"/>
        <v>4.9999999995634425E-2</v>
      </c>
      <c r="J17" s="163">
        <f t="shared" si="1"/>
        <v>8.736058342129278E-5</v>
      </c>
      <c r="K17" s="147">
        <f t="shared" si="2"/>
        <v>1</v>
      </c>
      <c r="L17" s="162">
        <v>57234.1</v>
      </c>
      <c r="M17" s="153"/>
      <c r="N17" s="153"/>
      <c r="O17" s="153"/>
      <c r="P17" s="153"/>
      <c r="Q17" s="153"/>
      <c r="R17" s="155" t="b">
        <f>A17=[1]FORM.2!A15</f>
        <v>1</v>
      </c>
      <c r="S17" s="155" t="b">
        <f>C17=[1]FORM.2!D15</f>
        <v>1</v>
      </c>
      <c r="T17" s="155" t="b">
        <f>D17=[1]FORM.2!F15</f>
        <v>1</v>
      </c>
      <c r="U17" s="155" t="b">
        <f>E17=[1]FORM.2!G15</f>
        <v>1</v>
      </c>
      <c r="V17" s="155">
        <f>[1]FORM.2!K15</f>
        <v>57234.05</v>
      </c>
      <c r="W17" s="155" t="b">
        <f>F17=[1]FORM.2!K15</f>
        <v>1</v>
      </c>
      <c r="X17" s="157">
        <f t="shared" si="4"/>
        <v>0</v>
      </c>
      <c r="Y17" s="157">
        <f>Demonstrativo!B46</f>
        <v>57234.1</v>
      </c>
      <c r="Z17" s="157" t="b">
        <f t="shared" si="5"/>
        <v>1</v>
      </c>
      <c r="AA17" s="157">
        <f t="shared" si="6"/>
        <v>0</v>
      </c>
      <c r="AB17" s="157">
        <f>Demonstrativo!C46</f>
        <v>57234.1</v>
      </c>
      <c r="AC17" s="157" t="b">
        <f t="shared" si="7"/>
        <v>1</v>
      </c>
      <c r="AD17" s="157"/>
      <c r="AE17" s="157"/>
      <c r="AF17" s="157"/>
      <c r="AG17" s="157"/>
      <c r="AH17" s="157"/>
      <c r="AI17" s="157"/>
    </row>
    <row r="18" spans="1:35" s="3" customFormat="1" ht="90" customHeight="1">
      <c r="A18" s="158" t="s">
        <v>167</v>
      </c>
      <c r="B18" s="159" t="s">
        <v>172</v>
      </c>
      <c r="C18" s="160" t="s">
        <v>190</v>
      </c>
      <c r="D18" s="161" t="s">
        <v>21</v>
      </c>
      <c r="E18" s="160" t="s">
        <v>191</v>
      </c>
      <c r="F18" s="205">
        <v>76647</v>
      </c>
      <c r="G18" s="170">
        <f t="shared" si="3"/>
        <v>76647</v>
      </c>
      <c r="H18" s="170">
        <v>75030.509999999995</v>
      </c>
      <c r="I18" s="171">
        <f t="shared" si="0"/>
        <v>-1616.4900000000052</v>
      </c>
      <c r="J18" s="163">
        <f t="shared" si="1"/>
        <v>-2.109006223335558</v>
      </c>
      <c r="K18" s="147">
        <f t="shared" si="2"/>
        <v>0.97890993776664437</v>
      </c>
      <c r="L18" s="162">
        <v>75030.509999999995</v>
      </c>
      <c r="M18" s="153"/>
      <c r="N18" s="153"/>
      <c r="O18" s="153"/>
      <c r="P18" s="153"/>
      <c r="Q18" s="153"/>
      <c r="R18" s="155" t="b">
        <f>A18=[1]FORM.2!A16</f>
        <v>1</v>
      </c>
      <c r="S18" s="155" t="b">
        <f>C18=[1]FORM.2!D16</f>
        <v>1</v>
      </c>
      <c r="T18" s="155" t="b">
        <f>D18=[1]FORM.2!F16</f>
        <v>1</v>
      </c>
      <c r="U18" s="155" t="b">
        <f>E18=[1]FORM.2!G16</f>
        <v>1</v>
      </c>
      <c r="V18" s="155">
        <f>[1]FORM.2!K16</f>
        <v>76647</v>
      </c>
      <c r="W18" s="155" t="b">
        <f>F18=[1]FORM.2!K16</f>
        <v>1</v>
      </c>
      <c r="X18" s="157">
        <f t="shared" si="4"/>
        <v>0</v>
      </c>
      <c r="Y18" s="157">
        <f>Demonstrativo!B40</f>
        <v>76647</v>
      </c>
      <c r="Z18" s="157" t="b">
        <f t="shared" si="5"/>
        <v>1</v>
      </c>
      <c r="AA18" s="157">
        <f t="shared" si="6"/>
        <v>0</v>
      </c>
      <c r="AB18" s="157">
        <f>Demonstrativo!C40</f>
        <v>75030.509999999995</v>
      </c>
      <c r="AC18" s="157" t="b">
        <f t="shared" si="7"/>
        <v>1</v>
      </c>
      <c r="AD18" s="157"/>
      <c r="AE18" s="157"/>
      <c r="AF18" s="157"/>
      <c r="AG18" s="157"/>
      <c r="AH18" s="157"/>
      <c r="AI18" s="157"/>
    </row>
    <row r="19" spans="1:35" s="3" customFormat="1" ht="111" customHeight="1">
      <c r="A19" s="158" t="s">
        <v>167</v>
      </c>
      <c r="B19" s="159" t="s">
        <v>172</v>
      </c>
      <c r="C19" s="160" t="s">
        <v>192</v>
      </c>
      <c r="D19" s="161" t="s">
        <v>15</v>
      </c>
      <c r="E19" s="160" t="s">
        <v>193</v>
      </c>
      <c r="F19" s="205">
        <f>V19</f>
        <v>31805.29</v>
      </c>
      <c r="G19" s="170">
        <f t="shared" si="3"/>
        <v>31805.29</v>
      </c>
      <c r="H19" s="170">
        <v>31805.29</v>
      </c>
      <c r="I19" s="171">
        <f t="shared" si="0"/>
        <v>0</v>
      </c>
      <c r="J19" s="163">
        <f t="shared" si="1"/>
        <v>0</v>
      </c>
      <c r="K19" s="147">
        <f t="shared" si="2"/>
        <v>1</v>
      </c>
      <c r="L19" s="162">
        <v>31805.29</v>
      </c>
      <c r="M19" s="153"/>
      <c r="N19" s="153"/>
      <c r="O19" s="153"/>
      <c r="P19" s="153"/>
      <c r="Q19" s="153"/>
      <c r="R19" s="155" t="b">
        <f>A19=[1]FORM.2!A17</f>
        <v>1</v>
      </c>
      <c r="S19" s="155" t="b">
        <f>C19=[1]FORM.2!D17</f>
        <v>1</v>
      </c>
      <c r="T19" s="155" t="b">
        <f>D19=[1]FORM.2!F17</f>
        <v>1</v>
      </c>
      <c r="U19" s="155" t="b">
        <f>E19=[1]FORM.2!G17</f>
        <v>1</v>
      </c>
      <c r="V19" s="155">
        <f>[1]FORM.2!K17</f>
        <v>31805.29</v>
      </c>
      <c r="W19" s="155" t="b">
        <f>F19=[1]FORM.2!K17</f>
        <v>1</v>
      </c>
      <c r="X19" s="157">
        <f t="shared" si="4"/>
        <v>0</v>
      </c>
      <c r="Y19" s="157">
        <f>Demonstrativo!B36</f>
        <v>31805.29</v>
      </c>
      <c r="Z19" s="157" t="b">
        <f t="shared" si="5"/>
        <v>1</v>
      </c>
      <c r="AA19" s="157">
        <f t="shared" si="6"/>
        <v>0</v>
      </c>
      <c r="AB19" s="157">
        <f>Demonstrativo!C36</f>
        <v>31805.29</v>
      </c>
      <c r="AC19" s="157" t="b">
        <f t="shared" si="7"/>
        <v>1</v>
      </c>
      <c r="AD19" s="157"/>
      <c r="AE19" s="157"/>
      <c r="AF19" s="157"/>
      <c r="AG19" s="157"/>
      <c r="AH19" s="157"/>
      <c r="AI19" s="157"/>
    </row>
    <row r="20" spans="1:35" s="3" customFormat="1" ht="90" customHeight="1">
      <c r="A20" s="158" t="s">
        <v>187</v>
      </c>
      <c r="B20" s="159" t="s">
        <v>168</v>
      </c>
      <c r="C20" s="160" t="s">
        <v>194</v>
      </c>
      <c r="D20" s="161" t="s">
        <v>22</v>
      </c>
      <c r="E20" s="160" t="s">
        <v>195</v>
      </c>
      <c r="F20" s="205">
        <v>22994</v>
      </c>
      <c r="G20" s="170">
        <f>F20-8000</f>
        <v>14994</v>
      </c>
      <c r="H20" s="170">
        <v>0</v>
      </c>
      <c r="I20" s="171">
        <f t="shared" si="0"/>
        <v>-22994</v>
      </c>
      <c r="J20" s="163">
        <f t="shared" si="1"/>
        <v>-100</v>
      </c>
      <c r="K20" s="147">
        <f t="shared" si="2"/>
        <v>0</v>
      </c>
      <c r="L20" s="162">
        <v>14994</v>
      </c>
      <c r="M20" s="153"/>
      <c r="N20" s="153"/>
      <c r="O20" s="153"/>
      <c r="P20" s="153"/>
      <c r="Q20" s="153"/>
      <c r="R20" s="155" t="b">
        <f>A20=[1]FORM.2!A18</f>
        <v>1</v>
      </c>
      <c r="S20" s="155" t="b">
        <f>C20=[1]FORM.2!D18</f>
        <v>1</v>
      </c>
      <c r="T20" s="155" t="b">
        <f>D20=[1]FORM.2!F18</f>
        <v>1</v>
      </c>
      <c r="U20" s="155" t="b">
        <f>E20=[1]FORM.2!G18</f>
        <v>1</v>
      </c>
      <c r="V20" s="155">
        <f>[1]FORM.2!K18</f>
        <v>22994</v>
      </c>
      <c r="W20" s="155" t="b">
        <f>F20=[1]FORM.2!K18</f>
        <v>1</v>
      </c>
      <c r="X20" s="157">
        <f t="shared" si="4"/>
        <v>0</v>
      </c>
      <c r="Y20" s="157">
        <f>Demonstrativo!B48</f>
        <v>14994</v>
      </c>
      <c r="Z20" s="157" t="b">
        <f t="shared" si="5"/>
        <v>1</v>
      </c>
      <c r="AA20" s="157">
        <f t="shared" si="6"/>
        <v>0</v>
      </c>
      <c r="AB20" s="157">
        <f>Demonstrativo!C48</f>
        <v>0</v>
      </c>
      <c r="AC20" s="157" t="b">
        <f t="shared" si="7"/>
        <v>1</v>
      </c>
      <c r="AD20" s="157"/>
      <c r="AE20" s="157"/>
      <c r="AF20" s="157"/>
      <c r="AG20" s="157"/>
      <c r="AH20" s="157"/>
      <c r="AI20" s="157"/>
    </row>
    <row r="21" spans="1:35" s="3" customFormat="1" ht="112.5" customHeight="1">
      <c r="A21" s="158" t="s">
        <v>167</v>
      </c>
      <c r="B21" s="166" t="s">
        <v>172</v>
      </c>
      <c r="C21" s="167" t="s">
        <v>196</v>
      </c>
      <c r="D21" s="161" t="s">
        <v>27</v>
      </c>
      <c r="E21" s="160" t="s">
        <v>197</v>
      </c>
      <c r="F21" s="205">
        <f>V21</f>
        <v>935114.96</v>
      </c>
      <c r="G21" s="170">
        <f>F21+0</f>
        <v>935114.96</v>
      </c>
      <c r="H21" s="170">
        <v>0</v>
      </c>
      <c r="I21" s="171">
        <f t="shared" si="0"/>
        <v>-935114.96</v>
      </c>
      <c r="J21" s="163">
        <f t="shared" si="1"/>
        <v>-100</v>
      </c>
      <c r="K21" s="147">
        <f t="shared" si="2"/>
        <v>0</v>
      </c>
      <c r="L21" s="153"/>
      <c r="M21" s="153"/>
      <c r="N21" s="153"/>
      <c r="O21" s="153"/>
      <c r="P21" s="153"/>
      <c r="Q21" s="153"/>
      <c r="R21" s="155" t="b">
        <f>A21=[1]FORM.2!A19</f>
        <v>1</v>
      </c>
      <c r="S21" s="155" t="b">
        <f>C21=[1]FORM.2!D19</f>
        <v>1</v>
      </c>
      <c r="T21" s="155" t="b">
        <f>D21=[1]FORM.2!F19</f>
        <v>1</v>
      </c>
      <c r="U21" s="155" t="b">
        <f>E21=[1]FORM.2!G19</f>
        <v>1</v>
      </c>
      <c r="V21" s="155">
        <f>[1]FORM.2!K19</f>
        <v>935114.96</v>
      </c>
      <c r="W21" s="155" t="b">
        <f>F21=[1]FORM.2!K19</f>
        <v>1</v>
      </c>
      <c r="X21" s="157">
        <f t="shared" si="4"/>
        <v>0</v>
      </c>
      <c r="Y21" s="157">
        <f>Demonstrativo!B42</f>
        <v>935114.96</v>
      </c>
      <c r="Z21" s="157" t="b">
        <f t="shared" si="5"/>
        <v>1</v>
      </c>
      <c r="AA21" s="157">
        <f t="shared" si="6"/>
        <v>0</v>
      </c>
      <c r="AB21" s="157">
        <f>Demonstrativo!C42</f>
        <v>0</v>
      </c>
      <c r="AC21" s="157" t="b">
        <f t="shared" si="7"/>
        <v>1</v>
      </c>
      <c r="AD21" s="157"/>
      <c r="AE21" s="157"/>
      <c r="AF21" s="157"/>
      <c r="AG21" s="157"/>
      <c r="AH21" s="157"/>
      <c r="AI21" s="157"/>
    </row>
    <row r="22" spans="1:35" s="3" customFormat="1" ht="48" customHeight="1" thickBot="1">
      <c r="A22" s="387" t="s">
        <v>198</v>
      </c>
      <c r="B22" s="388"/>
      <c r="C22" s="388"/>
      <c r="D22" s="388"/>
      <c r="E22" s="389"/>
      <c r="F22" s="172">
        <f>SUM(F10:F21)</f>
        <v>4363431.3000000007</v>
      </c>
      <c r="G22" s="173">
        <f>SUM(G10:G21)</f>
        <v>4363431.6000000006</v>
      </c>
      <c r="H22" s="173">
        <f>SUM(H10:H21)</f>
        <v>3197169.48</v>
      </c>
      <c r="I22" s="173">
        <f t="shared" si="0"/>
        <v>-1166261.8200000008</v>
      </c>
      <c r="J22" s="73">
        <f t="shared" si="1"/>
        <v>-26.728089428152579</v>
      </c>
      <c r="K22" s="147">
        <f t="shared" si="2"/>
        <v>0.73271905534167181</v>
      </c>
      <c r="L22" s="153"/>
      <c r="M22" s="153"/>
      <c r="N22" s="153"/>
      <c r="O22" s="153"/>
      <c r="P22" s="153"/>
      <c r="Q22" s="153"/>
      <c r="R22" s="155"/>
      <c r="S22" s="155"/>
      <c r="T22" s="155"/>
      <c r="U22" s="155"/>
      <c r="V22" s="155">
        <f>[1]FORM.2!K20</f>
        <v>4363431.3</v>
      </c>
      <c r="W22" s="155" t="b">
        <f>F22=[1]FORM.2!K20</f>
        <v>1</v>
      </c>
      <c r="X22" s="157">
        <f t="shared" si="4"/>
        <v>0</v>
      </c>
      <c r="Y22" s="157">
        <f>SUM(Y10:Y21)</f>
        <v>4363431.6000000006</v>
      </c>
      <c r="Z22" s="157" t="b">
        <f t="shared" si="5"/>
        <v>1</v>
      </c>
      <c r="AA22" s="157">
        <f t="shared" si="6"/>
        <v>0</v>
      </c>
      <c r="AB22" s="157">
        <f>SUM(AB10:AB21)</f>
        <v>3197169.48</v>
      </c>
      <c r="AC22" s="157" t="b">
        <f t="shared" si="7"/>
        <v>1</v>
      </c>
      <c r="AD22" s="157"/>
      <c r="AE22" s="157"/>
      <c r="AF22" s="157"/>
      <c r="AG22" s="157"/>
      <c r="AH22" s="157"/>
      <c r="AI22" s="157"/>
    </row>
    <row r="23" spans="1:35" s="3" customFormat="1">
      <c r="A23" s="381" t="s">
        <v>199</v>
      </c>
      <c r="B23" s="381"/>
      <c r="C23" s="381"/>
      <c r="D23" s="381"/>
      <c r="E23" s="381"/>
      <c r="F23" s="381"/>
      <c r="G23" s="381"/>
      <c r="H23" s="381"/>
      <c r="I23" s="381"/>
      <c r="J23" s="381"/>
      <c r="K23" s="153"/>
      <c r="L23" s="153"/>
      <c r="M23" s="153"/>
      <c r="N23" s="153"/>
      <c r="O23" s="153"/>
      <c r="P23" s="153"/>
      <c r="Q23" s="153"/>
      <c r="R23" s="155"/>
      <c r="S23" s="155"/>
      <c r="T23" s="155"/>
      <c r="U23" s="155"/>
      <c r="V23" s="155"/>
      <c r="W23" s="155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</row>
    <row r="24" spans="1:35" s="3" customFormat="1">
      <c r="A24" s="376" t="s">
        <v>200</v>
      </c>
      <c r="B24" s="376"/>
      <c r="C24" s="376"/>
      <c r="D24" s="376"/>
      <c r="E24" s="376"/>
      <c r="F24" s="376"/>
      <c r="G24" s="376"/>
      <c r="H24" s="376"/>
      <c r="I24" s="376"/>
      <c r="J24" s="376"/>
      <c r="K24" s="153"/>
      <c r="L24" s="153"/>
      <c r="M24" s="153"/>
      <c r="N24" s="153"/>
      <c r="O24" s="153"/>
      <c r="P24" s="153"/>
      <c r="Q24" s="153"/>
      <c r="R24" s="155"/>
      <c r="S24" s="155"/>
      <c r="T24" s="155"/>
      <c r="U24" s="155"/>
      <c r="V24" s="155"/>
      <c r="W24" s="155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</row>
    <row r="25" spans="1:35" s="3" customFormat="1" ht="99" customHeight="1">
      <c r="A25" s="386"/>
      <c r="B25" s="386"/>
      <c r="C25" s="386"/>
      <c r="D25" s="386"/>
      <c r="E25" s="386"/>
      <c r="F25" s="386"/>
      <c r="G25" s="386"/>
      <c r="H25" s="386"/>
      <c r="I25" s="386"/>
      <c r="J25" s="386"/>
      <c r="K25" s="153"/>
      <c r="L25" s="153"/>
      <c r="M25" s="153"/>
      <c r="N25" s="153"/>
      <c r="O25" s="153"/>
      <c r="P25" s="153"/>
      <c r="Q25" s="153"/>
      <c r="R25" s="155"/>
      <c r="S25" s="155"/>
      <c r="T25" s="155"/>
      <c r="U25" s="155"/>
      <c r="V25" s="155"/>
      <c r="W25" s="155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</row>
    <row r="26" spans="1:35" s="3" customFormat="1" ht="12.75" customHeight="1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153"/>
      <c r="L26" s="153"/>
      <c r="M26" s="153"/>
      <c r="N26" s="153"/>
      <c r="O26" s="153"/>
      <c r="P26" s="153"/>
      <c r="Q26" s="153"/>
      <c r="R26" s="155"/>
      <c r="S26" s="155"/>
      <c r="T26" s="155"/>
      <c r="U26" s="155"/>
      <c r="V26" s="155"/>
      <c r="W26" s="155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</row>
    <row r="27" spans="1:35">
      <c r="H27" s="370">
        <f>SUM(G10:G20)</f>
        <v>3428316.6400000006</v>
      </c>
      <c r="I27" s="372">
        <f>SUM(H10:H20)</f>
        <v>3197169.48</v>
      </c>
    </row>
    <row r="28" spans="1:35">
      <c r="G28" s="168"/>
      <c r="H28" s="371"/>
      <c r="I28" s="371"/>
      <c r="J28" s="169">
        <f>I27-H27</f>
        <v>-231147.16000000061</v>
      </c>
    </row>
    <row r="29" spans="1:35">
      <c r="I29" s="373">
        <f>I27/H27</f>
        <v>0.93257706791050654</v>
      </c>
    </row>
    <row r="30" spans="1:35">
      <c r="I30" s="373"/>
      <c r="J30" s="152">
        <f>IFERROR(H27,I27)</f>
        <v>3428316.6400000006</v>
      </c>
    </row>
  </sheetData>
  <sheetProtection formatCells="0" formatRows="0" insertRows="0" deleteRows="0"/>
  <autoFilter ref="A9:AI24"/>
  <mergeCells count="22">
    <mergeCell ref="A23:J23"/>
    <mergeCell ref="A26:J26"/>
    <mergeCell ref="A4:J4"/>
    <mergeCell ref="A25:J25"/>
    <mergeCell ref="A24:J24"/>
    <mergeCell ref="A22:E22"/>
    <mergeCell ref="H27:H28"/>
    <mergeCell ref="I27:I28"/>
    <mergeCell ref="I29:I30"/>
    <mergeCell ref="A3:J3"/>
    <mergeCell ref="E8:E9"/>
    <mergeCell ref="A6:J6"/>
    <mergeCell ref="I8:J8"/>
    <mergeCell ref="A8:A9"/>
    <mergeCell ref="B8:B9"/>
    <mergeCell ref="C8:C9"/>
    <mergeCell ref="D8:D9"/>
    <mergeCell ref="A5:J5"/>
    <mergeCell ref="A7:J7"/>
    <mergeCell ref="H8:H9"/>
    <mergeCell ref="F8:F9"/>
    <mergeCell ref="G8:G9"/>
  </mergeCells>
  <phoneticPr fontId="43" type="noConversion"/>
  <conditionalFormatting sqref="R10:W10 R11:U21 W11:W21 V11:V22">
    <cfRule type="cellIs" dxfId="3" priority="1" operator="equal">
      <formula>FALSE</formula>
    </cfRule>
  </conditionalFormatting>
  <pageMargins left="0.23622047244094491" right="0.23622047244094491" top="0.27" bottom="0.17" header="0.31496062992125984" footer="0.31496062992125984"/>
  <pageSetup paperSize="9" scale="41" fitToHeight="0" orientation="landscape" r:id="rId1"/>
  <ignoredErrors>
    <ignoredError sqref="A10:J19 A21:J21 A20:F20 H20:J20" unlockedFormula="1"/>
    <ignoredError sqref="G20" formula="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>
          <x14:formula1>
            <xm:f>'[2]Matriz Objetivos x Projetos'!#REF!</xm:f>
          </x14:formula1>
          <x14:formula2>
            <xm:f>0</xm:f>
          </x14:formula2>
          <xm:sqref>D10:D21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/>
  </sheetPr>
  <dimension ref="A1:O60"/>
  <sheetViews>
    <sheetView showGridLines="0" topLeftCell="A6" zoomScale="120" zoomScaleNormal="120" workbookViewId="0">
      <selection activeCell="R52" sqref="R52"/>
    </sheetView>
  </sheetViews>
  <sheetFormatPr defaultRowHeight="15"/>
  <cols>
    <col min="1" max="1" width="39.140625" customWidth="1"/>
    <col min="2" max="2" width="13.28515625" customWidth="1"/>
    <col min="3" max="3" width="9.5703125" hidden="1" customWidth="1"/>
    <col min="4" max="4" width="3.85546875" hidden="1" customWidth="1"/>
    <col min="5" max="5" width="13.28515625" customWidth="1"/>
    <col min="6" max="7" width="13.42578125" hidden="1" customWidth="1"/>
    <col min="8" max="8" width="13.28515625" hidden="1" customWidth="1"/>
    <col min="9" max="9" width="13.42578125" hidden="1" customWidth="1"/>
    <col min="10" max="10" width="3.140625" hidden="1" customWidth="1"/>
    <col min="11" max="11" width="10.28515625" hidden="1" customWidth="1"/>
    <col min="12" max="12" width="2.140625" hidden="1" customWidth="1"/>
    <col min="13" max="13" width="11.140625" hidden="1" customWidth="1"/>
    <col min="14" max="14" width="13.42578125" hidden="1" customWidth="1"/>
    <col min="15" max="15" width="0.42578125" hidden="1" customWidth="1"/>
  </cols>
  <sheetData>
    <row r="1" spans="1:15" ht="34.5" customHeight="1"/>
    <row r="2" spans="1:15" ht="23.25" customHeight="1">
      <c r="A2" s="398" t="s">
        <v>201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5" ht="15.75" customHeight="1">
      <c r="A3" s="399" t="s">
        <v>202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5" ht="0.75" customHeight="1"/>
    <row r="5" spans="1:15" ht="9.75" customHeight="1">
      <c r="A5" s="399" t="s">
        <v>203</v>
      </c>
      <c r="B5" s="399"/>
      <c r="C5" s="399"/>
    </row>
    <row r="6" spans="1:15" ht="6.75" customHeight="1">
      <c r="A6" s="399"/>
      <c r="B6" s="399"/>
      <c r="C6" s="399"/>
    </row>
    <row r="7" spans="1:15" ht="0.75" customHeight="1"/>
    <row r="8" spans="1:15" ht="6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</row>
    <row r="9" spans="1:15" ht="14.25" customHeight="1">
      <c r="K9" s="401" t="s">
        <v>204</v>
      </c>
      <c r="L9" s="401"/>
      <c r="M9" s="401"/>
      <c r="N9" s="401"/>
      <c r="O9" s="401"/>
    </row>
    <row r="10" spans="1:15" ht="19.5" customHeight="1">
      <c r="A10" s="402" t="s">
        <v>205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</row>
    <row r="11" spans="1:15" ht="15" customHeight="1">
      <c r="A11" s="403" t="s">
        <v>206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</row>
    <row r="12" spans="1:15" ht="1.5" customHeight="1"/>
    <row r="13" spans="1:15" ht="15" customHeight="1">
      <c r="A13" s="404"/>
      <c r="B13" s="404"/>
      <c r="C13" s="405" t="s">
        <v>207</v>
      </c>
      <c r="D13" s="405"/>
      <c r="E13" s="405"/>
      <c r="F13" s="405" t="s">
        <v>208</v>
      </c>
      <c r="G13" s="405"/>
      <c r="H13" s="405" t="s">
        <v>209</v>
      </c>
      <c r="I13" s="405"/>
      <c r="J13" s="405" t="s">
        <v>210</v>
      </c>
      <c r="K13" s="405"/>
      <c r="L13" s="405"/>
      <c r="M13" s="405"/>
      <c r="N13" s="405"/>
      <c r="O13" s="405"/>
    </row>
    <row r="14" spans="1:15" ht="14.25" customHeight="1">
      <c r="A14" s="151" t="s">
        <v>211</v>
      </c>
      <c r="B14" s="150" t="s">
        <v>212</v>
      </c>
      <c r="C14" s="397" t="s">
        <v>213</v>
      </c>
      <c r="D14" s="397"/>
      <c r="E14" s="226" t="s">
        <v>214</v>
      </c>
      <c r="F14" s="226" t="s">
        <v>213</v>
      </c>
      <c r="G14" s="226" t="s">
        <v>214</v>
      </c>
      <c r="H14" s="226" t="s">
        <v>213</v>
      </c>
      <c r="I14" s="226" t="s">
        <v>214</v>
      </c>
      <c r="J14" s="397" t="s">
        <v>215</v>
      </c>
      <c r="K14" s="397"/>
      <c r="L14" s="397" t="s">
        <v>216</v>
      </c>
      <c r="M14" s="397"/>
      <c r="N14" s="397" t="s">
        <v>217</v>
      </c>
      <c r="O14" s="397"/>
    </row>
    <row r="15" spans="1:15" ht="14.25" hidden="1" customHeight="1">
      <c r="A15" s="393" t="s">
        <v>218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</row>
    <row r="16" spans="1:15" ht="13.5" hidden="1" customHeight="1">
      <c r="A16" s="148"/>
      <c r="B16" s="225">
        <v>4363431.5999999996</v>
      </c>
      <c r="C16" s="394">
        <v>3197169.48</v>
      </c>
      <c r="D16" s="394"/>
      <c r="E16" s="225">
        <v>3197169.48</v>
      </c>
      <c r="F16" s="225">
        <v>3132055.92</v>
      </c>
      <c r="G16" s="225">
        <v>3132055.92</v>
      </c>
      <c r="H16" s="225">
        <v>3090672.26</v>
      </c>
      <c r="I16" s="225">
        <v>3090672.26</v>
      </c>
      <c r="J16" s="394">
        <v>1166262.1200000001</v>
      </c>
      <c r="K16" s="394"/>
      <c r="L16" s="394">
        <v>65113.56</v>
      </c>
      <c r="M16" s="394"/>
      <c r="N16" s="225">
        <v>41383.660000000003</v>
      </c>
    </row>
    <row r="17" spans="1:14" ht="14.25" hidden="1" customHeight="1">
      <c r="A17" s="395" t="s">
        <v>219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</row>
    <row r="18" spans="1:14" ht="14.25" hidden="1" customHeight="1">
      <c r="A18" s="149"/>
      <c r="B18" s="224">
        <v>163512</v>
      </c>
      <c r="C18" s="392">
        <v>122594.55</v>
      </c>
      <c r="D18" s="392"/>
      <c r="E18" s="224">
        <v>122594.55</v>
      </c>
      <c r="F18" s="224">
        <v>117220.46</v>
      </c>
      <c r="G18" s="224">
        <v>117220.46</v>
      </c>
      <c r="H18" s="224">
        <v>117220.46</v>
      </c>
      <c r="I18" s="224">
        <v>117220.46</v>
      </c>
      <c r="J18" s="392">
        <v>40917.449999999997</v>
      </c>
      <c r="K18" s="392"/>
      <c r="L18" s="392">
        <v>5374.09</v>
      </c>
      <c r="M18" s="392"/>
      <c r="N18" s="224">
        <v>0</v>
      </c>
    </row>
    <row r="19" spans="1:14" ht="14.25" hidden="1" customHeight="1">
      <c r="A19" s="393" t="s">
        <v>220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1:14" ht="14.25" hidden="1" customHeight="1">
      <c r="A20" s="148"/>
      <c r="B20" s="225">
        <v>163512</v>
      </c>
      <c r="C20" s="394">
        <v>122594.55</v>
      </c>
      <c r="D20" s="394"/>
      <c r="E20" s="225">
        <v>122594.55</v>
      </c>
      <c r="F20" s="225">
        <v>117220.46</v>
      </c>
      <c r="G20" s="225">
        <v>117220.46</v>
      </c>
      <c r="H20" s="225">
        <v>117220.46</v>
      </c>
      <c r="I20" s="225">
        <v>117220.46</v>
      </c>
      <c r="J20" s="394">
        <v>40917.449999999997</v>
      </c>
      <c r="K20" s="394"/>
      <c r="L20" s="394">
        <v>5374.09</v>
      </c>
      <c r="M20" s="394"/>
      <c r="N20" s="225">
        <v>0</v>
      </c>
    </row>
    <row r="21" spans="1:14" ht="14.25" customHeight="1">
      <c r="A21" s="391" t="s">
        <v>221</v>
      </c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</row>
    <row r="22" spans="1:14" ht="14.25" customHeight="1">
      <c r="A22" s="149"/>
      <c r="B22" s="224">
        <v>163512</v>
      </c>
      <c r="C22" s="392">
        <v>122594.55</v>
      </c>
      <c r="D22" s="392"/>
      <c r="E22" s="224">
        <v>122594.55</v>
      </c>
      <c r="F22" s="224">
        <v>117220.46</v>
      </c>
      <c r="G22" s="224">
        <v>117220.46</v>
      </c>
      <c r="H22" s="224">
        <v>117220.46</v>
      </c>
      <c r="I22" s="224">
        <v>117220.46</v>
      </c>
      <c r="J22" s="392">
        <v>40917.449999999997</v>
      </c>
      <c r="K22" s="392"/>
      <c r="L22" s="392">
        <v>5374.09</v>
      </c>
      <c r="M22" s="392"/>
      <c r="N22" s="224">
        <v>0</v>
      </c>
    </row>
    <row r="23" spans="1:14" ht="14.25" hidden="1" customHeight="1">
      <c r="A23" s="393" t="s">
        <v>222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1:14" ht="14.25" hidden="1" customHeight="1">
      <c r="A24" s="148"/>
      <c r="B24" s="225">
        <v>4199919.5999999996</v>
      </c>
      <c r="C24" s="394">
        <v>3074574.93</v>
      </c>
      <c r="D24" s="394"/>
      <c r="E24" s="225">
        <v>3074574.93</v>
      </c>
      <c r="F24" s="225">
        <v>3014835.46</v>
      </c>
      <c r="G24" s="225">
        <v>3014835.46</v>
      </c>
      <c r="H24" s="225">
        <v>2973451.8</v>
      </c>
      <c r="I24" s="225">
        <v>2973451.8</v>
      </c>
      <c r="J24" s="394">
        <v>1125344.67</v>
      </c>
      <c r="K24" s="394"/>
      <c r="L24" s="394">
        <v>59739.47</v>
      </c>
      <c r="M24" s="394"/>
      <c r="N24" s="225">
        <v>41383.660000000003</v>
      </c>
    </row>
    <row r="25" spans="1:14" ht="14.25" hidden="1" customHeight="1">
      <c r="A25" s="395" t="s">
        <v>223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</row>
    <row r="26" spans="1:14" ht="13.5" hidden="1" customHeight="1">
      <c r="A26" s="149"/>
      <c r="B26" s="224">
        <v>1084162</v>
      </c>
      <c r="C26" s="392">
        <v>1059506.6200000001</v>
      </c>
      <c r="D26" s="392"/>
      <c r="E26" s="224">
        <v>1059506.6200000001</v>
      </c>
      <c r="F26" s="224">
        <v>1059376.6200000001</v>
      </c>
      <c r="G26" s="224">
        <v>1059376.6200000001</v>
      </c>
      <c r="H26" s="224">
        <v>1025037.87</v>
      </c>
      <c r="I26" s="224">
        <v>1025037.87</v>
      </c>
      <c r="J26" s="392">
        <v>24655.38</v>
      </c>
      <c r="K26" s="392"/>
      <c r="L26" s="392">
        <v>130</v>
      </c>
      <c r="M26" s="392"/>
      <c r="N26" s="224">
        <v>34338.75</v>
      </c>
    </row>
    <row r="27" spans="1:14" ht="14.25" customHeight="1">
      <c r="A27" s="396" t="s">
        <v>224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</row>
    <row r="28" spans="1:14" ht="14.25" customHeight="1">
      <c r="A28" s="148"/>
      <c r="B28" s="225">
        <v>383713.95</v>
      </c>
      <c r="C28" s="394">
        <v>373542.34</v>
      </c>
      <c r="D28" s="394"/>
      <c r="E28" s="225">
        <v>373542.34</v>
      </c>
      <c r="F28" s="225">
        <v>373542.34</v>
      </c>
      <c r="G28" s="225">
        <v>373542.34</v>
      </c>
      <c r="H28" s="225">
        <v>339988.34</v>
      </c>
      <c r="I28" s="225">
        <v>339988.34</v>
      </c>
      <c r="J28" s="394">
        <v>10171.61</v>
      </c>
      <c r="K28" s="394"/>
      <c r="L28" s="394">
        <v>0</v>
      </c>
      <c r="M28" s="394"/>
      <c r="N28" s="225">
        <v>33554</v>
      </c>
    </row>
    <row r="29" spans="1:14" ht="14.25" customHeight="1">
      <c r="A29" s="391" t="s">
        <v>225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</row>
    <row r="30" spans="1:14" ht="14.25" customHeight="1">
      <c r="A30" s="149"/>
      <c r="B30" s="224">
        <v>700448.05</v>
      </c>
      <c r="C30" s="392">
        <v>685964.28</v>
      </c>
      <c r="D30" s="392"/>
      <c r="E30" s="224">
        <v>685964.28</v>
      </c>
      <c r="F30" s="224">
        <v>685834.28</v>
      </c>
      <c r="G30" s="224">
        <v>685834.28</v>
      </c>
      <c r="H30" s="224">
        <v>685049.53</v>
      </c>
      <c r="I30" s="224">
        <v>685049.53</v>
      </c>
      <c r="J30" s="392">
        <v>14483.77</v>
      </c>
      <c r="K30" s="392"/>
      <c r="L30" s="392">
        <v>130</v>
      </c>
      <c r="M30" s="392"/>
      <c r="N30" s="224">
        <v>784.75</v>
      </c>
    </row>
    <row r="31" spans="1:14" ht="14.25" hidden="1" customHeight="1">
      <c r="A31" s="393" t="s">
        <v>226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</row>
    <row r="32" spans="1:14" ht="14.25" hidden="1" customHeight="1">
      <c r="A32" s="148"/>
      <c r="B32" s="225">
        <v>2786331.25</v>
      </c>
      <c r="C32" s="394">
        <v>1700636.21</v>
      </c>
      <c r="D32" s="394"/>
      <c r="E32" s="225">
        <v>1700636.21</v>
      </c>
      <c r="F32" s="225">
        <v>1641026.74</v>
      </c>
      <c r="G32" s="225">
        <v>1641026.74</v>
      </c>
      <c r="H32" s="225">
        <v>1633981.83</v>
      </c>
      <c r="I32" s="225">
        <v>1633981.83</v>
      </c>
      <c r="J32" s="394">
        <v>1085695.04</v>
      </c>
      <c r="K32" s="394"/>
      <c r="L32" s="394">
        <v>59609.47</v>
      </c>
      <c r="M32" s="394"/>
      <c r="N32" s="225">
        <v>7044.91</v>
      </c>
    </row>
    <row r="33" spans="1:14" ht="14.25" customHeight="1">
      <c r="A33" s="391" t="s">
        <v>227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ht="14.25" customHeight="1">
      <c r="A34" s="149"/>
      <c r="B34" s="224">
        <v>1673063.98</v>
      </c>
      <c r="C34" s="392">
        <v>1536711.71</v>
      </c>
      <c r="D34" s="392"/>
      <c r="E34" s="224">
        <v>1536711.71</v>
      </c>
      <c r="F34" s="224">
        <v>1491776.74</v>
      </c>
      <c r="G34" s="224">
        <v>1491776.74</v>
      </c>
      <c r="H34" s="224">
        <v>1485781.33</v>
      </c>
      <c r="I34" s="224">
        <v>1485781.33</v>
      </c>
      <c r="J34" s="392">
        <v>136352.26999999999</v>
      </c>
      <c r="K34" s="392"/>
      <c r="L34" s="392">
        <v>44934.97</v>
      </c>
      <c r="M34" s="392"/>
      <c r="N34" s="224">
        <v>5995.41</v>
      </c>
    </row>
    <row r="35" spans="1:14" ht="14.25" customHeight="1">
      <c r="A35" s="396" t="s">
        <v>228</v>
      </c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</row>
    <row r="36" spans="1:14" ht="13.5" customHeight="1">
      <c r="A36" s="148"/>
      <c r="B36" s="225">
        <v>31805.29</v>
      </c>
      <c r="C36" s="394">
        <v>31805.29</v>
      </c>
      <c r="D36" s="394"/>
      <c r="E36" s="225">
        <v>31805.29</v>
      </c>
      <c r="F36" s="225">
        <v>31805.29</v>
      </c>
      <c r="G36" s="225">
        <v>31805.29</v>
      </c>
      <c r="H36" s="225">
        <v>31805.29</v>
      </c>
      <c r="I36" s="225">
        <v>31805.29</v>
      </c>
      <c r="J36" s="394">
        <v>0</v>
      </c>
      <c r="K36" s="394"/>
      <c r="L36" s="394">
        <v>0</v>
      </c>
      <c r="M36" s="394"/>
      <c r="N36" s="225">
        <v>0</v>
      </c>
    </row>
    <row r="37" spans="1:14" ht="14.25" customHeight="1">
      <c r="A37" s="391" t="s">
        <v>229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</row>
    <row r="38" spans="1:14" ht="14.25" customHeight="1">
      <c r="A38" s="149"/>
      <c r="B38" s="224">
        <v>69700.02</v>
      </c>
      <c r="C38" s="392">
        <v>57088.7</v>
      </c>
      <c r="D38" s="392"/>
      <c r="E38" s="224">
        <v>57088.7</v>
      </c>
      <c r="F38" s="224">
        <v>57088.7</v>
      </c>
      <c r="G38" s="224">
        <v>57088.7</v>
      </c>
      <c r="H38" s="224">
        <v>57088.7</v>
      </c>
      <c r="I38" s="224">
        <v>57088.7</v>
      </c>
      <c r="J38" s="392">
        <v>12611.32</v>
      </c>
      <c r="K38" s="392"/>
      <c r="L38" s="392">
        <v>0</v>
      </c>
      <c r="M38" s="392"/>
      <c r="N38" s="224">
        <v>0</v>
      </c>
    </row>
    <row r="39" spans="1:14" ht="14.25" customHeight="1">
      <c r="A39" s="396" t="s">
        <v>230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</row>
    <row r="40" spans="1:14" ht="14.25" customHeight="1">
      <c r="A40" s="148"/>
      <c r="B40" s="225">
        <v>76647</v>
      </c>
      <c r="C40" s="394">
        <v>75030.509999999995</v>
      </c>
      <c r="D40" s="394"/>
      <c r="E40" s="225">
        <v>75030.509999999995</v>
      </c>
      <c r="F40" s="225">
        <v>60356.01</v>
      </c>
      <c r="G40" s="225">
        <v>60356.01</v>
      </c>
      <c r="H40" s="225">
        <v>59306.51</v>
      </c>
      <c r="I40" s="225">
        <v>59306.51</v>
      </c>
      <c r="J40" s="394">
        <v>1616.49</v>
      </c>
      <c r="K40" s="394"/>
      <c r="L40" s="394">
        <v>14674.5</v>
      </c>
      <c r="M40" s="394"/>
      <c r="N40" s="225">
        <v>1049.5</v>
      </c>
    </row>
    <row r="41" spans="1:14" ht="14.25" customHeight="1">
      <c r="A41" s="391" t="s">
        <v>231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</row>
    <row r="42" spans="1:14" ht="14.25" customHeight="1">
      <c r="A42" s="149"/>
      <c r="B42" s="224">
        <v>935114.96</v>
      </c>
      <c r="C42" s="392">
        <v>0</v>
      </c>
      <c r="D42" s="392"/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392">
        <v>935114.96</v>
      </c>
      <c r="K42" s="392"/>
      <c r="L42" s="392">
        <v>0</v>
      </c>
      <c r="M42" s="392"/>
      <c r="N42" s="224">
        <v>0</v>
      </c>
    </row>
    <row r="43" spans="1:14" ht="14.25" hidden="1" customHeight="1">
      <c r="A43" s="393" t="s">
        <v>232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</row>
    <row r="44" spans="1:14" ht="14.25" hidden="1" customHeight="1">
      <c r="A44" s="148"/>
      <c r="B44" s="225">
        <v>72228.100000000006</v>
      </c>
      <c r="C44" s="394">
        <v>57234.1</v>
      </c>
      <c r="D44" s="394"/>
      <c r="E44" s="225">
        <v>57234.1</v>
      </c>
      <c r="F44" s="225">
        <v>57234.1</v>
      </c>
      <c r="G44" s="225">
        <v>57234.1</v>
      </c>
      <c r="H44" s="225">
        <v>57234.1</v>
      </c>
      <c r="I44" s="225">
        <v>57234.1</v>
      </c>
      <c r="J44" s="394">
        <v>14994</v>
      </c>
      <c r="K44" s="394"/>
      <c r="L44" s="394">
        <v>0</v>
      </c>
      <c r="M44" s="394"/>
      <c r="N44" s="225">
        <v>0</v>
      </c>
    </row>
    <row r="45" spans="1:14" ht="14.25" customHeight="1">
      <c r="A45" s="391" t="s">
        <v>233</v>
      </c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391"/>
    </row>
    <row r="46" spans="1:14" ht="13.5" customHeight="1">
      <c r="A46" s="149"/>
      <c r="B46" s="224">
        <v>57234.1</v>
      </c>
      <c r="C46" s="392">
        <v>57234.1</v>
      </c>
      <c r="D46" s="392"/>
      <c r="E46" s="224">
        <v>57234.1</v>
      </c>
      <c r="F46" s="224">
        <v>57234.1</v>
      </c>
      <c r="G46" s="224">
        <v>57234.1</v>
      </c>
      <c r="H46" s="224">
        <v>57234.1</v>
      </c>
      <c r="I46" s="224">
        <v>57234.1</v>
      </c>
      <c r="J46" s="392">
        <v>0</v>
      </c>
      <c r="K46" s="392"/>
      <c r="L46" s="392">
        <v>0</v>
      </c>
      <c r="M46" s="392"/>
      <c r="N46" s="224">
        <v>0</v>
      </c>
    </row>
    <row r="47" spans="1:14" ht="14.25" customHeight="1">
      <c r="A47" s="396" t="s">
        <v>234</v>
      </c>
      <c r="B47" s="396"/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</row>
    <row r="48" spans="1:14" ht="14.25" customHeight="1">
      <c r="A48" s="148"/>
      <c r="B48" s="225">
        <v>14994</v>
      </c>
      <c r="C48" s="394">
        <v>0</v>
      </c>
      <c r="D48" s="394"/>
      <c r="E48" s="225">
        <v>0</v>
      </c>
      <c r="F48" s="225">
        <v>0</v>
      </c>
      <c r="G48" s="225">
        <v>0</v>
      </c>
      <c r="H48" s="225">
        <v>0</v>
      </c>
      <c r="I48" s="225">
        <v>0</v>
      </c>
      <c r="J48" s="394">
        <v>14994</v>
      </c>
      <c r="K48" s="394"/>
      <c r="L48" s="394">
        <v>0</v>
      </c>
      <c r="M48" s="394"/>
      <c r="N48" s="225">
        <v>0</v>
      </c>
    </row>
    <row r="49" spans="1:15" ht="14.25" hidden="1" customHeight="1">
      <c r="A49" s="395" t="s">
        <v>235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</row>
    <row r="50" spans="1:15" ht="14.25" hidden="1" customHeight="1">
      <c r="A50" s="149"/>
      <c r="B50" s="224">
        <v>257198.25</v>
      </c>
      <c r="C50" s="392">
        <v>257198</v>
      </c>
      <c r="D50" s="392"/>
      <c r="E50" s="224">
        <v>257198</v>
      </c>
      <c r="F50" s="224">
        <v>257198</v>
      </c>
      <c r="G50" s="224">
        <v>257198</v>
      </c>
      <c r="H50" s="224">
        <v>257198</v>
      </c>
      <c r="I50" s="224">
        <v>257198</v>
      </c>
      <c r="J50" s="392">
        <v>0.25</v>
      </c>
      <c r="K50" s="392"/>
      <c r="L50" s="392">
        <v>0</v>
      </c>
      <c r="M50" s="392"/>
      <c r="N50" s="224">
        <v>0</v>
      </c>
    </row>
    <row r="51" spans="1:15" ht="14.25" customHeight="1">
      <c r="A51" s="396" t="s">
        <v>236</v>
      </c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</row>
    <row r="52" spans="1:15" ht="14.25" customHeight="1">
      <c r="A52" s="148"/>
      <c r="B52" s="225">
        <v>217075.32</v>
      </c>
      <c r="C52" s="394">
        <v>217075.20000000001</v>
      </c>
      <c r="D52" s="394"/>
      <c r="E52" s="225">
        <v>217075.20000000001</v>
      </c>
      <c r="F52" s="225">
        <v>217075.20000000001</v>
      </c>
      <c r="G52" s="225">
        <v>217075.20000000001</v>
      </c>
      <c r="H52" s="225">
        <v>217075.20000000001</v>
      </c>
      <c r="I52" s="225">
        <v>217075.20000000001</v>
      </c>
      <c r="J52" s="394">
        <v>0.12</v>
      </c>
      <c r="K52" s="394"/>
      <c r="L52" s="394">
        <v>0</v>
      </c>
      <c r="M52" s="394"/>
      <c r="N52" s="225">
        <v>0</v>
      </c>
    </row>
    <row r="53" spans="1:15" ht="14.25" customHeight="1">
      <c r="A53" s="391" t="s">
        <v>186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</row>
    <row r="54" spans="1:15" ht="14.25" customHeight="1">
      <c r="A54" s="149"/>
      <c r="B54" s="224">
        <v>40122.93</v>
      </c>
      <c r="C54" s="392">
        <v>40122.800000000003</v>
      </c>
      <c r="D54" s="392"/>
      <c r="E54" s="224">
        <v>40122.800000000003</v>
      </c>
      <c r="F54" s="224">
        <v>40122.800000000003</v>
      </c>
      <c r="G54" s="224">
        <v>40122.800000000003</v>
      </c>
      <c r="H54" s="224">
        <v>40122.800000000003</v>
      </c>
      <c r="I54" s="224">
        <v>40122.800000000003</v>
      </c>
      <c r="J54" s="392">
        <v>0.13</v>
      </c>
      <c r="K54" s="392"/>
      <c r="L54" s="392">
        <v>0</v>
      </c>
      <c r="M54" s="392"/>
      <c r="N54" s="224">
        <v>0</v>
      </c>
    </row>
    <row r="55" spans="1:15" ht="14.25" customHeight="1">
      <c r="A55" s="393" t="s">
        <v>237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</row>
    <row r="56" spans="1:15" ht="13.5" customHeight="1">
      <c r="A56" s="148"/>
      <c r="B56" s="225">
        <v>4363431.5999999996</v>
      </c>
      <c r="C56" s="394">
        <v>3197169.48</v>
      </c>
      <c r="D56" s="394"/>
      <c r="E56" s="225">
        <v>3197169.48</v>
      </c>
      <c r="F56" s="225">
        <v>3132055.92</v>
      </c>
      <c r="G56" s="225">
        <v>3132055.92</v>
      </c>
      <c r="H56" s="225">
        <v>3090672.26</v>
      </c>
      <c r="I56" s="225">
        <v>3090672.26</v>
      </c>
      <c r="J56" s="394">
        <v>1166262.1200000001</v>
      </c>
      <c r="K56" s="394"/>
      <c r="L56" s="394">
        <v>65113.56</v>
      </c>
      <c r="M56" s="394"/>
      <c r="N56" s="225">
        <v>41383.660000000003</v>
      </c>
    </row>
    <row r="57" spans="1:15" ht="14.25" customHeight="1"/>
    <row r="58" spans="1:15" ht="12.75" customHeight="1">
      <c r="M58" s="390" t="s">
        <v>238</v>
      </c>
      <c r="N58" s="390"/>
      <c r="O58" s="390"/>
    </row>
    <row r="59" spans="1:15" ht="21" customHeight="1"/>
    <row r="60" spans="1:15" ht="12.75" customHeight="1">
      <c r="M60" s="390" t="s">
        <v>238</v>
      </c>
      <c r="N60" s="390"/>
      <c r="O60" s="390"/>
    </row>
  </sheetData>
  <mergeCells count="102">
    <mergeCell ref="A2:L2"/>
    <mergeCell ref="A3:L3"/>
    <mergeCell ref="A5:C6"/>
    <mergeCell ref="A8:O8"/>
    <mergeCell ref="K9:O9"/>
    <mergeCell ref="A10:O10"/>
    <mergeCell ref="A11:O11"/>
    <mergeCell ref="A13:B13"/>
    <mergeCell ref="C13:E13"/>
    <mergeCell ref="F13:G13"/>
    <mergeCell ref="H13:I13"/>
    <mergeCell ref="J13:O13"/>
    <mergeCell ref="C14:D14"/>
    <mergeCell ref="J14:K14"/>
    <mergeCell ref="L14:M14"/>
    <mergeCell ref="N14:O14"/>
    <mergeCell ref="A15:N15"/>
    <mergeCell ref="C16:D16"/>
    <mergeCell ref="J16:K16"/>
    <mergeCell ref="L16:M16"/>
    <mergeCell ref="A17:N17"/>
    <mergeCell ref="C18:D18"/>
    <mergeCell ref="J18:K18"/>
    <mergeCell ref="L18:M18"/>
    <mergeCell ref="A19:N19"/>
    <mergeCell ref="C20:D20"/>
    <mergeCell ref="J20:K20"/>
    <mergeCell ref="L20:M20"/>
    <mergeCell ref="A21:N21"/>
    <mergeCell ref="C22:D22"/>
    <mergeCell ref="J22:K22"/>
    <mergeCell ref="L22:M22"/>
    <mergeCell ref="A23:N23"/>
    <mergeCell ref="C24:D24"/>
    <mergeCell ref="J24:K24"/>
    <mergeCell ref="L24:M24"/>
    <mergeCell ref="A25:N25"/>
    <mergeCell ref="C26:D26"/>
    <mergeCell ref="J26:K26"/>
    <mergeCell ref="L26:M26"/>
    <mergeCell ref="A27:N27"/>
    <mergeCell ref="C28:D28"/>
    <mergeCell ref="J28:K28"/>
    <mergeCell ref="L28:M28"/>
    <mergeCell ref="A29:N29"/>
    <mergeCell ref="C30:D30"/>
    <mergeCell ref="J30:K30"/>
    <mergeCell ref="L30:M30"/>
    <mergeCell ref="A31:N31"/>
    <mergeCell ref="C32:D32"/>
    <mergeCell ref="J32:K32"/>
    <mergeCell ref="L32:M32"/>
    <mergeCell ref="A33:N33"/>
    <mergeCell ref="C34:D34"/>
    <mergeCell ref="J34:K34"/>
    <mergeCell ref="L34:M34"/>
    <mergeCell ref="A35:N35"/>
    <mergeCell ref="C36:D36"/>
    <mergeCell ref="J36:K36"/>
    <mergeCell ref="L36:M36"/>
    <mergeCell ref="A37:N37"/>
    <mergeCell ref="C38:D38"/>
    <mergeCell ref="J38:K38"/>
    <mergeCell ref="L38:M38"/>
    <mergeCell ref="A39:N39"/>
    <mergeCell ref="C40:D40"/>
    <mergeCell ref="J40:K40"/>
    <mergeCell ref="L40:M40"/>
    <mergeCell ref="A41:N41"/>
    <mergeCell ref="C42:D42"/>
    <mergeCell ref="J42:K42"/>
    <mergeCell ref="L42:M42"/>
    <mergeCell ref="A43:N43"/>
    <mergeCell ref="C44:D44"/>
    <mergeCell ref="J44:K44"/>
    <mergeCell ref="L44:M44"/>
    <mergeCell ref="A45:N45"/>
    <mergeCell ref="C46:D46"/>
    <mergeCell ref="J46:K46"/>
    <mergeCell ref="L46:M46"/>
    <mergeCell ref="A47:N47"/>
    <mergeCell ref="C48:D48"/>
    <mergeCell ref="J48:K48"/>
    <mergeCell ref="L48:M48"/>
    <mergeCell ref="A49:N49"/>
    <mergeCell ref="C50:D50"/>
    <mergeCell ref="J50:K50"/>
    <mergeCell ref="L50:M50"/>
    <mergeCell ref="A51:N51"/>
    <mergeCell ref="C52:D52"/>
    <mergeCell ref="J52:K52"/>
    <mergeCell ref="L52:M52"/>
    <mergeCell ref="M58:O58"/>
    <mergeCell ref="M60:O60"/>
    <mergeCell ref="A53:N53"/>
    <mergeCell ref="C54:D54"/>
    <mergeCell ref="J54:K54"/>
    <mergeCell ref="L54:M54"/>
    <mergeCell ref="A55:N55"/>
    <mergeCell ref="C56:D56"/>
    <mergeCell ref="J56:K56"/>
    <mergeCell ref="L56:M56"/>
  </mergeCells>
  <pageMargins left="0.19666667282581329" right="0.19666667282581329" top="0.20000000298023224" bottom="0.20000000298023224" header="0.3" footer="0.3"/>
  <pageSetup paperSize="9" orientation="landscape" errors="blank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pageSetUpPr fitToPage="1"/>
  </sheetPr>
  <dimension ref="A3:AI40"/>
  <sheetViews>
    <sheetView showGridLines="0" topLeftCell="A8" zoomScale="120" zoomScaleNormal="120" zoomScaleSheetLayoutView="80" workbookViewId="0">
      <selection activeCell="H8" sqref="H1:J1048576"/>
    </sheetView>
  </sheetViews>
  <sheetFormatPr defaultRowHeight="15.75"/>
  <cols>
    <col min="1" max="1" width="42.85546875" style="174" customWidth="1"/>
    <col min="2" max="2" width="16.85546875" style="174" customWidth="1"/>
    <col min="3" max="3" width="17.5703125" style="174" customWidth="1"/>
    <col min="4" max="4" width="14.85546875" style="174" customWidth="1"/>
    <col min="5" max="5" width="11.7109375" style="174" customWidth="1"/>
    <col min="6" max="6" width="11.140625" style="174" customWidth="1"/>
    <col min="7" max="7" width="13.42578125" style="191" hidden="1" customWidth="1"/>
    <col min="8" max="8" width="15.140625" style="191" hidden="1" customWidth="1"/>
    <col min="9" max="9" width="15.7109375" style="191" hidden="1" customWidth="1"/>
    <col min="10" max="10" width="15.140625" style="191" hidden="1" customWidth="1"/>
    <col min="11" max="27" width="13.42578125" style="191" customWidth="1"/>
    <col min="28" max="35" width="9" style="191"/>
  </cols>
  <sheetData>
    <row r="3" spans="1:35" ht="30.75" customHeight="1"/>
    <row r="4" spans="1:35" ht="79.5" customHeight="1">
      <c r="A4" s="406" t="s">
        <v>239</v>
      </c>
      <c r="B4" s="406"/>
      <c r="C4" s="406"/>
      <c r="D4" s="406"/>
      <c r="E4" s="406"/>
      <c r="F4" s="406"/>
    </row>
    <row r="5" spans="1:35">
      <c r="A5" s="175" t="s">
        <v>240</v>
      </c>
      <c r="B5" s="41"/>
      <c r="C5" s="41"/>
      <c r="D5" s="41"/>
      <c r="E5" s="41"/>
      <c r="F5" s="43"/>
    </row>
    <row r="6" spans="1:35" s="2" customFormat="1" ht="24" customHeight="1">
      <c r="A6" s="176" t="s">
        <v>241</v>
      </c>
      <c r="B6" s="42"/>
      <c r="C6" s="42"/>
      <c r="D6" s="42"/>
      <c r="E6" s="42"/>
      <c r="F6" s="177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</row>
    <row r="7" spans="1:35" s="2" customFormat="1" ht="23.25" customHeight="1">
      <c r="A7" s="39"/>
      <c r="B7" s="40"/>
      <c r="C7" s="40"/>
      <c r="D7" s="40"/>
      <c r="E7" s="178" t="s">
        <v>155</v>
      </c>
      <c r="F7" s="40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</row>
    <row r="8" spans="1:35" ht="23.45" customHeight="1">
      <c r="A8" s="408" t="s">
        <v>242</v>
      </c>
      <c r="B8" s="409" t="s">
        <v>243</v>
      </c>
      <c r="C8" s="409" t="s">
        <v>244</v>
      </c>
      <c r="D8" s="408" t="s">
        <v>245</v>
      </c>
      <c r="E8" s="408"/>
      <c r="F8" s="407" t="s">
        <v>246</v>
      </c>
    </row>
    <row r="9" spans="1:35" ht="46.15" customHeight="1">
      <c r="A9" s="408"/>
      <c r="B9" s="409"/>
      <c r="C9" s="409"/>
      <c r="D9" s="101" t="s">
        <v>247</v>
      </c>
      <c r="E9" s="102" t="s">
        <v>248</v>
      </c>
      <c r="F9" s="407"/>
    </row>
    <row r="10" spans="1:35" ht="24.95" customHeight="1">
      <c r="A10" s="49" t="s">
        <v>249</v>
      </c>
      <c r="B10" s="53"/>
      <c r="C10" s="53"/>
      <c r="D10" s="53"/>
      <c r="E10" s="54"/>
      <c r="F10" s="54"/>
    </row>
    <row r="11" spans="1:35" ht="24.95" customHeight="1">
      <c r="A11" s="44" t="s">
        <v>250</v>
      </c>
      <c r="B11" s="182">
        <f>B12+B22+B23+B24</f>
        <v>3494316</v>
      </c>
      <c r="C11" s="182">
        <f>C12+C22+C23+C24</f>
        <v>3462563.36</v>
      </c>
      <c r="D11" s="182">
        <f>C11-B11</f>
        <v>-31752.64000000013</v>
      </c>
      <c r="E11" s="45">
        <f>IFERROR(D11/B11*100,)</f>
        <v>-0.90869400477804896</v>
      </c>
      <c r="F11" s="45">
        <f>IFERROR(C11/$C$28*100,0)</f>
        <v>100</v>
      </c>
      <c r="G11" s="191">
        <f>[1]FORM.4!E9</f>
        <v>3494316</v>
      </c>
      <c r="H11" s="191" t="b">
        <f>B11=G11</f>
        <v>1</v>
      </c>
      <c r="I11" s="191">
        <f>'Balanço Orç.'!L15</f>
        <v>3462563.36</v>
      </c>
      <c r="J11" s="191" t="b">
        <f>I11=C11</f>
        <v>1</v>
      </c>
    </row>
    <row r="12" spans="1:35" ht="24.95" customHeight="1">
      <c r="A12" s="46" t="s">
        <v>251</v>
      </c>
      <c r="B12" s="182">
        <f>B13+B20+B21</f>
        <v>3358103</v>
      </c>
      <c r="C12" s="182">
        <f>C13+C20+C21</f>
        <v>3289885.6799999997</v>
      </c>
      <c r="D12" s="182">
        <f t="shared" ref="D12:D28" si="0">C12-B12</f>
        <v>-68217.320000000298</v>
      </c>
      <c r="E12" s="45">
        <f t="shared" ref="E12:E28" si="1">IFERROR(D12/B12*100,)</f>
        <v>-2.0314242892490282</v>
      </c>
      <c r="F12" s="45">
        <f t="shared" ref="F12:F28" si="2">IFERROR(C12/$C$28*100,0)</f>
        <v>95.013010245681102</v>
      </c>
      <c r="G12" s="191">
        <f>[1]FORM.4!E10</f>
        <v>3358103</v>
      </c>
      <c r="H12" s="191" t="b">
        <f t="shared" ref="H12:H28" si="3">B12=G12</f>
        <v>1</v>
      </c>
    </row>
    <row r="13" spans="1:35" ht="24.95" customHeight="1">
      <c r="A13" s="46" t="s">
        <v>252</v>
      </c>
      <c r="B13" s="182">
        <f>B14+B17</f>
        <v>1896794</v>
      </c>
      <c r="C13" s="182">
        <f>C14+C17</f>
        <v>1886765.79</v>
      </c>
      <c r="D13" s="182">
        <f t="shared" si="0"/>
        <v>-10028.209999999963</v>
      </c>
      <c r="E13" s="45">
        <f t="shared" si="1"/>
        <v>-0.52869262555659513</v>
      </c>
      <c r="F13" s="45">
        <f t="shared" si="2"/>
        <v>54.490433642202007</v>
      </c>
      <c r="G13" s="191">
        <f>[1]FORM.4!E11</f>
        <v>1896794</v>
      </c>
      <c r="H13" s="191" t="b">
        <f t="shared" si="3"/>
        <v>1</v>
      </c>
      <c r="I13" s="191">
        <f>'Balanço Orç.'!L18</f>
        <v>1886765.79</v>
      </c>
      <c r="J13" s="193" t="b">
        <f>I13=C13</f>
        <v>1</v>
      </c>
      <c r="K13" s="191">
        <f>C13-I13</f>
        <v>0</v>
      </c>
    </row>
    <row r="14" spans="1:35" ht="24.95" customHeight="1">
      <c r="A14" s="48" t="s">
        <v>253</v>
      </c>
      <c r="B14" s="183">
        <f>SUM(B15:B16)</f>
        <v>1657640</v>
      </c>
      <c r="C14" s="183">
        <f>SUM(C15:C16)</f>
        <v>1694467.01</v>
      </c>
      <c r="D14" s="182">
        <f t="shared" si="0"/>
        <v>36827.010000000009</v>
      </c>
      <c r="E14" s="45">
        <f t="shared" si="1"/>
        <v>2.2216530730436048</v>
      </c>
      <c r="F14" s="45">
        <f t="shared" si="2"/>
        <v>48.936779888989527</v>
      </c>
      <c r="G14" s="191">
        <f>[1]FORM.4!E12</f>
        <v>1657640</v>
      </c>
      <c r="H14" s="191" t="b">
        <f t="shared" si="3"/>
        <v>1</v>
      </c>
    </row>
    <row r="15" spans="1:35" ht="24.95" customHeight="1">
      <c r="A15" s="47" t="s">
        <v>254</v>
      </c>
      <c r="B15" s="184">
        <v>1457640</v>
      </c>
      <c r="C15" s="184">
        <v>1315022.3</v>
      </c>
      <c r="D15" s="182">
        <f t="shared" si="0"/>
        <v>-142617.69999999995</v>
      </c>
      <c r="E15" s="45">
        <f t="shared" si="1"/>
        <v>-9.7841510935484717</v>
      </c>
      <c r="F15" s="45">
        <f t="shared" si="2"/>
        <v>37.978288431955228</v>
      </c>
      <c r="G15" s="191">
        <f>[1]FORM.4!E13</f>
        <v>1457640</v>
      </c>
      <c r="H15" s="191" t="b">
        <f t="shared" si="3"/>
        <v>1</v>
      </c>
    </row>
    <row r="16" spans="1:35" ht="24.95" customHeight="1">
      <c r="A16" s="47" t="s">
        <v>255</v>
      </c>
      <c r="B16" s="184">
        <v>200000</v>
      </c>
      <c r="C16" s="184">
        <f>353004.75+26439.96</f>
        <v>379444.71</v>
      </c>
      <c r="D16" s="182">
        <f t="shared" si="0"/>
        <v>179444.71000000002</v>
      </c>
      <c r="E16" s="45">
        <f t="shared" si="1"/>
        <v>89.722355000000007</v>
      </c>
      <c r="F16" s="45">
        <f t="shared" si="2"/>
        <v>10.958491457034308</v>
      </c>
      <c r="G16" s="191">
        <f>[1]FORM.4!E14</f>
        <v>200000</v>
      </c>
      <c r="H16" s="191" t="b">
        <f t="shared" si="3"/>
        <v>1</v>
      </c>
    </row>
    <row r="17" spans="1:10" ht="24.95" customHeight="1">
      <c r="A17" s="48" t="s">
        <v>256</v>
      </c>
      <c r="B17" s="183">
        <f>SUM(B18:B19)</f>
        <v>239154</v>
      </c>
      <c r="C17" s="183">
        <f>SUM(C18:C19)</f>
        <v>192298.78</v>
      </c>
      <c r="D17" s="182">
        <f t="shared" si="0"/>
        <v>-46855.22</v>
      </c>
      <c r="E17" s="45">
        <f t="shared" si="1"/>
        <v>-19.592070381427867</v>
      </c>
      <c r="F17" s="45">
        <f t="shared" si="2"/>
        <v>5.5536537532124761</v>
      </c>
      <c r="G17" s="191">
        <f>[1]FORM.4!E15</f>
        <v>239154</v>
      </c>
      <c r="H17" s="191" t="b">
        <f t="shared" si="3"/>
        <v>1</v>
      </c>
    </row>
    <row r="18" spans="1:10" ht="24.95" customHeight="1">
      <c r="A18" s="47" t="s">
        <v>257</v>
      </c>
      <c r="B18" s="185">
        <v>204154</v>
      </c>
      <c r="C18" s="185">
        <v>131169.24</v>
      </c>
      <c r="D18" s="182">
        <f t="shared" si="0"/>
        <v>-72984.760000000009</v>
      </c>
      <c r="E18" s="45">
        <f t="shared" si="1"/>
        <v>-35.749855501239267</v>
      </c>
      <c r="F18" s="45">
        <f t="shared" si="2"/>
        <v>3.7882119794625218</v>
      </c>
      <c r="G18" s="191">
        <f>[1]FORM.4!E16</f>
        <v>204154</v>
      </c>
      <c r="H18" s="191" t="b">
        <f t="shared" si="3"/>
        <v>1</v>
      </c>
    </row>
    <row r="19" spans="1:10" ht="24.95" customHeight="1">
      <c r="A19" s="47" t="s">
        <v>258</v>
      </c>
      <c r="B19" s="185">
        <v>35000</v>
      </c>
      <c r="C19" s="185">
        <v>61129.54</v>
      </c>
      <c r="D19" s="182">
        <f t="shared" si="0"/>
        <v>26129.54</v>
      </c>
      <c r="E19" s="45">
        <f t="shared" si="1"/>
        <v>74.655828571428572</v>
      </c>
      <c r="F19" s="45">
        <f t="shared" si="2"/>
        <v>1.7654417737499539</v>
      </c>
      <c r="G19" s="191">
        <f>[1]FORM.4!E17</f>
        <v>34999.999999999993</v>
      </c>
      <c r="H19" s="191" t="b">
        <f t="shared" si="3"/>
        <v>1</v>
      </c>
    </row>
    <row r="20" spans="1:10" ht="24.95" customHeight="1">
      <c r="A20" s="48" t="s">
        <v>259</v>
      </c>
      <c r="B20" s="186">
        <v>1324510</v>
      </c>
      <c r="C20" s="186">
        <v>1220684.3999999999</v>
      </c>
      <c r="D20" s="182">
        <f t="shared" si="0"/>
        <v>-103825.60000000009</v>
      </c>
      <c r="E20" s="45">
        <f t="shared" si="1"/>
        <v>-7.8387932140942764</v>
      </c>
      <c r="F20" s="45">
        <f t="shared" si="2"/>
        <v>35.253777998736751</v>
      </c>
      <c r="G20" s="191">
        <f>[1]FORM.4!E18</f>
        <v>1324510</v>
      </c>
      <c r="H20" s="191" t="b">
        <f t="shared" si="3"/>
        <v>1</v>
      </c>
      <c r="I20" s="191">
        <f>'Balanço Orç.'!L21</f>
        <v>1220684.3999999999</v>
      </c>
      <c r="J20" s="191" t="b">
        <f>I20=C20</f>
        <v>1</v>
      </c>
    </row>
    <row r="21" spans="1:10" ht="24.95" customHeight="1">
      <c r="A21" s="48" t="s">
        <v>260</v>
      </c>
      <c r="B21" s="186">
        <v>136799</v>
      </c>
      <c r="C21" s="186">
        <f>179875.08+2560.41</f>
        <v>182435.49</v>
      </c>
      <c r="D21" s="182">
        <f t="shared" si="0"/>
        <v>45636.489999999991</v>
      </c>
      <c r="E21" s="45">
        <f t="shared" si="1"/>
        <v>33.360251171426683</v>
      </c>
      <c r="F21" s="45">
        <f t="shared" si="2"/>
        <v>5.2687986047423552</v>
      </c>
      <c r="G21" s="191">
        <f>[1]FORM.4!E19</f>
        <v>136799</v>
      </c>
      <c r="H21" s="191" t="b">
        <f t="shared" si="3"/>
        <v>1</v>
      </c>
    </row>
    <row r="22" spans="1:10" ht="24.95" customHeight="1">
      <c r="A22" s="48" t="s">
        <v>261</v>
      </c>
      <c r="B22" s="186">
        <v>85000</v>
      </c>
      <c r="C22" s="186">
        <v>113297.25</v>
      </c>
      <c r="D22" s="182"/>
      <c r="E22" s="45">
        <f t="shared" si="1"/>
        <v>0</v>
      </c>
      <c r="F22" s="45">
        <f t="shared" si="2"/>
        <v>3.2720628684755679</v>
      </c>
      <c r="G22" s="191">
        <f>[1]FORM.4!E20</f>
        <v>85000</v>
      </c>
      <c r="H22" s="191" t="b">
        <f t="shared" si="3"/>
        <v>1</v>
      </c>
    </row>
    <row r="23" spans="1:10" ht="24.95" customHeight="1">
      <c r="A23" s="48" t="s">
        <v>262</v>
      </c>
      <c r="B23" s="187">
        <v>51213</v>
      </c>
      <c r="C23" s="187">
        <f>454.86+14071.75+38786.35+5079.14+988.33</f>
        <v>59380.43</v>
      </c>
      <c r="D23" s="182">
        <f t="shared" si="0"/>
        <v>8167.43</v>
      </c>
      <c r="E23" s="45">
        <f t="shared" si="1"/>
        <v>15.947962431413901</v>
      </c>
      <c r="F23" s="45">
        <f t="shared" si="2"/>
        <v>1.7149268858433251</v>
      </c>
      <c r="G23" s="191">
        <f>[1]FORM.4!E21</f>
        <v>51213</v>
      </c>
      <c r="H23" s="191" t="b">
        <f t="shared" si="3"/>
        <v>1</v>
      </c>
    </row>
    <row r="24" spans="1:10" ht="24.95" customHeight="1">
      <c r="A24" s="48" t="s">
        <v>263</v>
      </c>
      <c r="B24" s="187">
        <v>0</v>
      </c>
      <c r="C24" s="187">
        <v>0</v>
      </c>
      <c r="D24" s="182">
        <f t="shared" si="0"/>
        <v>0</v>
      </c>
      <c r="E24" s="45">
        <f t="shared" si="1"/>
        <v>0</v>
      </c>
      <c r="F24" s="45">
        <f t="shared" si="2"/>
        <v>0</v>
      </c>
      <c r="G24" s="191">
        <f>[1]FORM.4!E22</f>
        <v>0</v>
      </c>
      <c r="H24" s="191" t="b">
        <f t="shared" si="3"/>
        <v>1</v>
      </c>
    </row>
    <row r="25" spans="1:10" ht="24.95" customHeight="1">
      <c r="A25" s="44" t="s">
        <v>264</v>
      </c>
      <c r="B25" s="182">
        <f>SUM(B26:B27)</f>
        <v>869115.3</v>
      </c>
      <c r="C25" s="182">
        <f>SUM(C26:C27)</f>
        <v>0</v>
      </c>
      <c r="D25" s="182">
        <f t="shared" si="0"/>
        <v>-869115.3</v>
      </c>
      <c r="E25" s="45">
        <f t="shared" si="1"/>
        <v>-100</v>
      </c>
      <c r="F25" s="45">
        <f t="shared" si="2"/>
        <v>0</v>
      </c>
      <c r="G25" s="191">
        <f>[1]FORM.4!E23</f>
        <v>869115.3</v>
      </c>
      <c r="H25" s="191" t="b">
        <f t="shared" si="3"/>
        <v>1</v>
      </c>
    </row>
    <row r="26" spans="1:10" ht="36" customHeight="1">
      <c r="A26" s="48" t="s">
        <v>265</v>
      </c>
      <c r="B26" s="207">
        <f>G26</f>
        <v>869115.3</v>
      </c>
      <c r="C26" s="187">
        <v>0</v>
      </c>
      <c r="D26" s="182">
        <f t="shared" si="0"/>
        <v>-869115.3</v>
      </c>
      <c r="E26" s="45">
        <f t="shared" si="1"/>
        <v>-100</v>
      </c>
      <c r="F26" s="45">
        <f t="shared" si="2"/>
        <v>0</v>
      </c>
      <c r="G26" s="191">
        <f>[1]FORM.4!E24</f>
        <v>869115.3</v>
      </c>
      <c r="H26" s="191" t="b">
        <f t="shared" si="3"/>
        <v>1</v>
      </c>
    </row>
    <row r="27" spans="1:10" ht="24.95" customHeight="1">
      <c r="A27" s="48" t="s">
        <v>266</v>
      </c>
      <c r="B27" s="187"/>
      <c r="C27" s="187"/>
      <c r="D27" s="182">
        <f t="shared" si="0"/>
        <v>0</v>
      </c>
      <c r="E27" s="45">
        <f t="shared" si="1"/>
        <v>0</v>
      </c>
      <c r="F27" s="45">
        <f t="shared" si="2"/>
        <v>0</v>
      </c>
      <c r="G27" s="191">
        <f>[1]FORM.4!E25</f>
        <v>0</v>
      </c>
      <c r="H27" s="191" t="b">
        <f t="shared" si="3"/>
        <v>1</v>
      </c>
    </row>
    <row r="28" spans="1:10" ht="25.5" customHeight="1">
      <c r="A28" s="44" t="s">
        <v>267</v>
      </c>
      <c r="B28" s="182">
        <f>SUM(B11,B25)</f>
        <v>4363431.3</v>
      </c>
      <c r="C28" s="182">
        <f>SUM(C11,C25)</f>
        <v>3462563.36</v>
      </c>
      <c r="D28" s="182">
        <f t="shared" si="0"/>
        <v>-900867.94</v>
      </c>
      <c r="E28" s="45">
        <f t="shared" si="1"/>
        <v>-20.645860518074389</v>
      </c>
      <c r="F28" s="45">
        <f t="shared" si="2"/>
        <v>100</v>
      </c>
      <c r="G28" s="191">
        <f>[1]FORM.4!E26</f>
        <v>4363431.3</v>
      </c>
      <c r="H28" s="191" t="b">
        <f t="shared" si="3"/>
        <v>1</v>
      </c>
      <c r="I28" s="191">
        <f>'Balanço Orç.'!L36</f>
        <v>3462563.36</v>
      </c>
      <c r="J28" s="191" t="b">
        <f>I28=C28</f>
        <v>1</v>
      </c>
    </row>
    <row r="29" spans="1:10" hidden="1">
      <c r="A29" s="49" t="s">
        <v>268</v>
      </c>
      <c r="B29" s="188"/>
      <c r="C29" s="188"/>
      <c r="D29" s="188"/>
      <c r="E29" s="179"/>
      <c r="F29" s="179"/>
    </row>
    <row r="30" spans="1:10" ht="30" hidden="1" customHeight="1">
      <c r="A30" s="46" t="s">
        <v>269</v>
      </c>
      <c r="B30" s="189">
        <f>SUM(B31:B32)</f>
        <v>4034005.2500000005</v>
      </c>
      <c r="C30" s="189">
        <f>SUM(C31:C32)</f>
        <v>2882737.38</v>
      </c>
      <c r="D30" s="189">
        <f t="shared" ref="D30:E30" si="4">SUM(D31:D32)</f>
        <v>-1151267.8700000003</v>
      </c>
      <c r="E30" s="139">
        <f t="shared" si="4"/>
        <v>-83.398713517960417</v>
      </c>
      <c r="F30" s="139">
        <f>SUM(F31:F32)</f>
        <v>83.254429747099266</v>
      </c>
    </row>
    <row r="31" spans="1:10" hidden="1">
      <c r="A31" s="48" t="s">
        <v>270</v>
      </c>
      <c r="B31" s="186">
        <f>'Quadro Geral'!G11+'Quadro Geral'!G14+'Quadro Geral'!G18+'Quadro Geral'!G19+'Quadro Geral'!G21</f>
        <v>1276779.27</v>
      </c>
      <c r="C31" s="186">
        <f>'Quadro Geral'!H11+'Quadro Geral'!H14+'Quadro Geral'!H18+'Quadro Geral'!H19+'Quadro Geral'!H21</f>
        <v>286519.05</v>
      </c>
      <c r="D31" s="189">
        <f t="shared" ref="D31" si="5">C31-B31</f>
        <v>-990260.22</v>
      </c>
      <c r="E31" s="45">
        <f t="shared" ref="E31" si="6">IFERROR(D31/B31*100,)</f>
        <v>-77.559233868200252</v>
      </c>
      <c r="F31" s="45">
        <f t="shared" ref="F31" si="7">IFERROR(C31/$C$28*100,0)</f>
        <v>8.274766992278229</v>
      </c>
    </row>
    <row r="32" spans="1:10" hidden="1">
      <c r="A32" s="48" t="s">
        <v>271</v>
      </c>
      <c r="B32" s="186">
        <f>'Quadro Geral'!G10+'Quadro Geral'!G12+'Quadro Geral'!G13</f>
        <v>2757225.9800000004</v>
      </c>
      <c r="C32" s="186">
        <f>'Quadro Geral'!H10+'Quadro Geral'!H12+'Quadro Geral'!H13</f>
        <v>2596218.33</v>
      </c>
      <c r="D32" s="189">
        <f t="shared" ref="D32:D35" si="8">C32-B32</f>
        <v>-161007.65000000037</v>
      </c>
      <c r="E32" s="45">
        <f t="shared" ref="E32:E35" si="9">IFERROR(D32/B32*100,)</f>
        <v>-5.8394796497601673</v>
      </c>
      <c r="F32" s="45">
        <f t="shared" ref="F32:F35" si="10">IFERROR(C32/$C$28*100,0)</f>
        <v>74.979662754821035</v>
      </c>
    </row>
    <row r="33" spans="1:6" hidden="1">
      <c r="A33" s="48" t="s">
        <v>272</v>
      </c>
      <c r="B33" s="186">
        <f>'Quadro Geral'!F17</f>
        <v>57234.05</v>
      </c>
      <c r="C33" s="186">
        <f>'Quadro Geral'!H17</f>
        <v>57234.1</v>
      </c>
      <c r="D33" s="189">
        <f t="shared" si="8"/>
        <v>4.9999999995634425E-2</v>
      </c>
      <c r="E33" s="45">
        <f t="shared" si="9"/>
        <v>8.736058342129278E-5</v>
      </c>
      <c r="F33" s="45">
        <f t="shared" si="10"/>
        <v>1.6529401500973546</v>
      </c>
    </row>
    <row r="34" spans="1:6" hidden="1">
      <c r="A34" s="48" t="s">
        <v>273</v>
      </c>
      <c r="B34" s="186">
        <f>'Quadro Geral'!F15+'Quadro Geral'!F16</f>
        <v>257198</v>
      </c>
      <c r="C34" s="186">
        <f>'Quadro Geral'!H15+'Quadro Geral'!H16</f>
        <v>257198</v>
      </c>
      <c r="D34" s="189">
        <f t="shared" si="8"/>
        <v>0</v>
      </c>
      <c r="E34" s="45">
        <f t="shared" si="9"/>
        <v>0</v>
      </c>
      <c r="F34" s="45">
        <f t="shared" si="10"/>
        <v>7.4279651593148035</v>
      </c>
    </row>
    <row r="35" spans="1:6" hidden="1">
      <c r="A35" s="48" t="s">
        <v>274</v>
      </c>
      <c r="B35" s="186">
        <f>'Quadro Geral'!G20</f>
        <v>14994</v>
      </c>
      <c r="C35" s="186">
        <f>'Quadro Geral'!H20</f>
        <v>0</v>
      </c>
      <c r="D35" s="189">
        <f t="shared" si="8"/>
        <v>-14994</v>
      </c>
      <c r="E35" s="45">
        <f t="shared" si="9"/>
        <v>-100</v>
      </c>
      <c r="F35" s="45">
        <f t="shared" si="10"/>
        <v>0</v>
      </c>
    </row>
    <row r="36" spans="1:6" hidden="1">
      <c r="A36" s="44" t="s">
        <v>275</v>
      </c>
      <c r="B36" s="182">
        <f>SUM(B30+B33+B34+B35)</f>
        <v>4363431.3000000007</v>
      </c>
      <c r="C36" s="182">
        <f t="shared" ref="C36:D36" si="11">SUM(C30+C33+C34+C35)</f>
        <v>3197169.48</v>
      </c>
      <c r="D36" s="182">
        <f t="shared" si="11"/>
        <v>-1166261.8200000003</v>
      </c>
      <c r="E36" s="45">
        <f t="shared" ref="E36" si="12">IFERROR(D36/B36*100,)</f>
        <v>-26.728089428152568</v>
      </c>
      <c r="F36" s="45">
        <f t="shared" ref="F36" si="13">IFERROR(C36/$C$28*100,0)</f>
        <v>92.33533505651144</v>
      </c>
    </row>
    <row r="37" spans="1:6" hidden="1">
      <c r="A37" s="48" t="s">
        <v>276</v>
      </c>
      <c r="B37" s="190">
        <f>B28-B36</f>
        <v>0</v>
      </c>
      <c r="C37" s="190">
        <f>C28-C36</f>
        <v>265393.87999999989</v>
      </c>
      <c r="D37" s="182"/>
      <c r="E37" s="181"/>
      <c r="F37" s="180"/>
    </row>
    <row r="38" spans="1:6" hidden="1">
      <c r="C38" s="145">
        <f>C36/C28</f>
        <v>0.92335335056511436</v>
      </c>
    </row>
    <row r="39" spans="1:6" hidden="1">
      <c r="C39" s="145">
        <f>C36/B28</f>
        <v>0.73271910571847443</v>
      </c>
    </row>
    <row r="40" spans="1:6" hidden="1">
      <c r="C40" s="145">
        <f>C11/B11</f>
        <v>0.99091305995221945</v>
      </c>
    </row>
  </sheetData>
  <mergeCells count="6">
    <mergeCell ref="A4:F4"/>
    <mergeCell ref="F8:F9"/>
    <mergeCell ref="A8:A9"/>
    <mergeCell ref="B8:B9"/>
    <mergeCell ref="D8:E8"/>
    <mergeCell ref="C8:C9"/>
  </mergeCells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ignoredErrors>
    <ignoredError sqref="B14:B16 C14 B31:B35 C31:C35 B26 C24 C18:C22 C16 C23" unlockedFormula="1"/>
    <ignoredError sqref="B17:C17" formulaRange="1" unlocked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/>
  </sheetPr>
  <dimension ref="A1:M71"/>
  <sheetViews>
    <sheetView showGridLines="0" topLeftCell="A13" workbookViewId="0">
      <selection activeCell="G45" sqref="G45"/>
    </sheetView>
  </sheetViews>
  <sheetFormatPr defaultRowHeight="15"/>
  <cols>
    <col min="1" max="1" width="47.140625" customWidth="1"/>
    <col min="2" max="2" width="1" customWidth="1"/>
    <col min="3" max="3" width="3.28515625" customWidth="1"/>
    <col min="4" max="4" width="0.140625" customWidth="1"/>
    <col min="5" max="5" width="1" customWidth="1"/>
    <col min="6" max="6" width="16.140625" customWidth="1"/>
    <col min="7" max="7" width="17.140625" customWidth="1"/>
    <col min="8" max="8" width="1.7109375" customWidth="1"/>
    <col min="9" max="9" width="11.5703125" customWidth="1"/>
    <col min="10" max="10" width="4" customWidth="1"/>
    <col min="11" max="11" width="17.140625" customWidth="1"/>
    <col min="12" max="13" width="17.28515625" customWidth="1"/>
  </cols>
  <sheetData>
    <row r="1" spans="1:13" ht="34.5" customHeight="1"/>
    <row r="2" spans="1:13" ht="23.25" customHeight="1">
      <c r="A2" s="398" t="s">
        <v>201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3" ht="15.75" customHeight="1">
      <c r="A3" s="399" t="s">
        <v>202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3" ht="0.75" customHeight="1"/>
    <row r="5" spans="1:13" ht="9.75" customHeight="1">
      <c r="A5" s="399" t="s">
        <v>203</v>
      </c>
      <c r="B5" s="399"/>
      <c r="C5" s="399"/>
    </row>
    <row r="6" spans="1:13" ht="6.75" customHeight="1">
      <c r="A6" s="399"/>
      <c r="B6" s="399"/>
      <c r="C6" s="399"/>
    </row>
    <row r="7" spans="1:13" ht="0.75" customHeight="1"/>
    <row r="8" spans="1:13" ht="6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</row>
    <row r="9" spans="1:13" ht="14.25" customHeight="1">
      <c r="L9" s="401" t="s">
        <v>204</v>
      </c>
      <c r="M9" s="401"/>
    </row>
    <row r="10" spans="1:13" ht="19.5" customHeight="1">
      <c r="A10" s="402" t="s">
        <v>277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</row>
    <row r="11" spans="1:13" ht="12.75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</row>
    <row r="12" spans="1:13" ht="1.5" customHeight="1"/>
    <row r="13" spans="1:13" ht="1.5" customHeight="1">
      <c r="A13" s="423"/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</row>
    <row r="14" spans="1:13" ht="25.5" customHeight="1">
      <c r="A14" s="421" t="s">
        <v>278</v>
      </c>
      <c r="B14" s="421"/>
      <c r="C14" s="421"/>
      <c r="D14" s="422" t="s">
        <v>279</v>
      </c>
      <c r="E14" s="422"/>
      <c r="F14" s="422"/>
      <c r="G14" s="235" t="s">
        <v>279</v>
      </c>
      <c r="H14" s="422" t="s">
        <v>280</v>
      </c>
      <c r="I14" s="422"/>
      <c r="J14" s="422"/>
      <c r="K14" s="235" t="s">
        <v>281</v>
      </c>
      <c r="L14" s="235" t="s">
        <v>282</v>
      </c>
      <c r="M14" s="235" t="s">
        <v>283</v>
      </c>
    </row>
    <row r="15" spans="1:13" ht="18" customHeight="1">
      <c r="A15" s="393" t="s">
        <v>284</v>
      </c>
      <c r="B15" s="393"/>
      <c r="C15" s="393"/>
      <c r="D15" s="419">
        <v>3607303.8</v>
      </c>
      <c r="E15" s="419"/>
      <c r="F15" s="419"/>
      <c r="G15" s="233">
        <v>3494316.3</v>
      </c>
      <c r="H15" s="420">
        <v>3607303.8</v>
      </c>
      <c r="I15" s="420"/>
      <c r="J15" s="420"/>
      <c r="K15" s="234">
        <v>3494316.3</v>
      </c>
      <c r="L15" s="234">
        <v>3462563.36</v>
      </c>
      <c r="M15" s="234">
        <v>-31752.94</v>
      </c>
    </row>
    <row r="16" spans="1:13" ht="18" customHeight="1">
      <c r="A16" s="395" t="s">
        <v>285</v>
      </c>
      <c r="B16" s="395"/>
      <c r="C16" s="395"/>
      <c r="D16" s="414">
        <v>2004782</v>
      </c>
      <c r="E16" s="414"/>
      <c r="F16" s="414"/>
      <c r="G16" s="229">
        <v>1891794</v>
      </c>
      <c r="H16" s="415">
        <v>2004782</v>
      </c>
      <c r="I16" s="415"/>
      <c r="J16" s="415"/>
      <c r="K16" s="230">
        <v>1891794</v>
      </c>
      <c r="L16" s="230">
        <v>1886765.79</v>
      </c>
      <c r="M16" s="230">
        <v>-5028.21</v>
      </c>
    </row>
    <row r="17" spans="1:13" ht="18" customHeight="1">
      <c r="A17" s="393" t="s">
        <v>286</v>
      </c>
      <c r="B17" s="393"/>
      <c r="C17" s="393"/>
      <c r="D17" s="419">
        <v>2004782</v>
      </c>
      <c r="E17" s="419"/>
      <c r="F17" s="419"/>
      <c r="G17" s="233">
        <v>1891794</v>
      </c>
      <c r="H17" s="420">
        <v>2004782</v>
      </c>
      <c r="I17" s="420"/>
      <c r="J17" s="420"/>
      <c r="K17" s="234">
        <v>1891794</v>
      </c>
      <c r="L17" s="234">
        <v>1886765.79</v>
      </c>
      <c r="M17" s="234">
        <v>-5028.21</v>
      </c>
    </row>
    <row r="18" spans="1:13" ht="18" customHeight="1">
      <c r="A18" s="395" t="s">
        <v>287</v>
      </c>
      <c r="B18" s="395"/>
      <c r="C18" s="395"/>
      <c r="D18" s="414">
        <v>2004782</v>
      </c>
      <c r="E18" s="414"/>
      <c r="F18" s="414"/>
      <c r="G18" s="229">
        <v>1891794</v>
      </c>
      <c r="H18" s="415">
        <v>2004782</v>
      </c>
      <c r="I18" s="415"/>
      <c r="J18" s="415"/>
      <c r="K18" s="230">
        <v>1891794</v>
      </c>
      <c r="L18" s="230">
        <v>1886765.79</v>
      </c>
      <c r="M18" s="230">
        <v>-5028.21</v>
      </c>
    </row>
    <row r="19" spans="1:13" ht="18" customHeight="1">
      <c r="A19" s="393" t="s">
        <v>288</v>
      </c>
      <c r="B19" s="393"/>
      <c r="C19" s="393"/>
      <c r="D19" s="419">
        <v>1352603.8</v>
      </c>
      <c r="E19" s="419"/>
      <c r="F19" s="419"/>
      <c r="G19" s="233">
        <v>1352603.8</v>
      </c>
      <c r="H19" s="420">
        <v>1352603.8</v>
      </c>
      <c r="I19" s="420"/>
      <c r="J19" s="420"/>
      <c r="K19" s="234">
        <v>1352603.8</v>
      </c>
      <c r="L19" s="234">
        <v>1240290.1499999999</v>
      </c>
      <c r="M19" s="234">
        <v>-112313.65</v>
      </c>
    </row>
    <row r="20" spans="1:13" ht="18" customHeight="1">
      <c r="A20" s="395" t="s">
        <v>289</v>
      </c>
      <c r="B20" s="395"/>
      <c r="C20" s="395"/>
      <c r="D20" s="414">
        <v>0</v>
      </c>
      <c r="E20" s="414"/>
      <c r="F20" s="414"/>
      <c r="G20" s="229">
        <v>0</v>
      </c>
      <c r="H20" s="415">
        <v>0</v>
      </c>
      <c r="I20" s="415"/>
      <c r="J20" s="415"/>
      <c r="K20" s="230">
        <v>0</v>
      </c>
      <c r="L20" s="230">
        <v>5079.1400000000003</v>
      </c>
      <c r="M20" s="230">
        <v>5079.1400000000003</v>
      </c>
    </row>
    <row r="21" spans="1:13" ht="21" customHeight="1">
      <c r="A21" s="393" t="s">
        <v>290</v>
      </c>
      <c r="B21" s="393"/>
      <c r="C21" s="393"/>
      <c r="D21" s="419">
        <v>1324510</v>
      </c>
      <c r="E21" s="419"/>
      <c r="F21" s="419"/>
      <c r="G21" s="233">
        <v>1324510</v>
      </c>
      <c r="H21" s="420">
        <v>1324510</v>
      </c>
      <c r="I21" s="420"/>
      <c r="J21" s="420"/>
      <c r="K21" s="234">
        <v>1324510</v>
      </c>
      <c r="L21" s="234">
        <v>1220684.3999999999</v>
      </c>
      <c r="M21" s="234">
        <v>-103825.60000000001</v>
      </c>
    </row>
    <row r="22" spans="1:13" ht="18" customHeight="1">
      <c r="A22" s="395" t="s">
        <v>291</v>
      </c>
      <c r="B22" s="395"/>
      <c r="C22" s="395"/>
      <c r="D22" s="414">
        <v>0</v>
      </c>
      <c r="E22" s="414"/>
      <c r="F22" s="414"/>
      <c r="G22" s="229">
        <v>0</v>
      </c>
      <c r="H22" s="415">
        <v>0</v>
      </c>
      <c r="I22" s="415"/>
      <c r="J22" s="415"/>
      <c r="K22" s="230">
        <v>0</v>
      </c>
      <c r="L22" s="230">
        <v>454.86</v>
      </c>
      <c r="M22" s="230">
        <v>454.86</v>
      </c>
    </row>
    <row r="23" spans="1:13" ht="18" customHeight="1">
      <c r="A23" s="393" t="s">
        <v>292</v>
      </c>
      <c r="B23" s="393"/>
      <c r="C23" s="393"/>
      <c r="D23" s="419">
        <v>28093.8</v>
      </c>
      <c r="E23" s="419"/>
      <c r="F23" s="419"/>
      <c r="G23" s="233">
        <v>28093.8</v>
      </c>
      <c r="H23" s="420">
        <v>28093.8</v>
      </c>
      <c r="I23" s="420"/>
      <c r="J23" s="420"/>
      <c r="K23" s="234">
        <v>28093.8</v>
      </c>
      <c r="L23" s="234">
        <v>14071.75</v>
      </c>
      <c r="M23" s="234">
        <v>-14022.05</v>
      </c>
    </row>
    <row r="24" spans="1:13" ht="18" customHeight="1">
      <c r="A24" s="395" t="s">
        <v>293</v>
      </c>
      <c r="B24" s="395"/>
      <c r="C24" s="395"/>
      <c r="D24" s="414">
        <v>249918</v>
      </c>
      <c r="E24" s="414"/>
      <c r="F24" s="414"/>
      <c r="G24" s="229">
        <v>221799.25</v>
      </c>
      <c r="H24" s="415">
        <v>249918</v>
      </c>
      <c r="I24" s="415"/>
      <c r="J24" s="415"/>
      <c r="K24" s="230">
        <v>221799.25</v>
      </c>
      <c r="L24" s="230">
        <v>293172.33</v>
      </c>
      <c r="M24" s="230">
        <v>71373.08</v>
      </c>
    </row>
    <row r="25" spans="1:13" ht="18" customHeight="1">
      <c r="A25" s="393" t="s">
        <v>294</v>
      </c>
      <c r="B25" s="393"/>
      <c r="C25" s="393"/>
      <c r="D25" s="419">
        <v>139918</v>
      </c>
      <c r="E25" s="419"/>
      <c r="F25" s="419"/>
      <c r="G25" s="233">
        <v>136799</v>
      </c>
      <c r="H25" s="420">
        <v>139918</v>
      </c>
      <c r="I25" s="420"/>
      <c r="J25" s="420"/>
      <c r="K25" s="234">
        <v>136799</v>
      </c>
      <c r="L25" s="234">
        <v>179875.08</v>
      </c>
      <c r="M25" s="234">
        <v>43076.08</v>
      </c>
    </row>
    <row r="26" spans="1:13" ht="18" customHeight="1">
      <c r="A26" s="395" t="s">
        <v>295</v>
      </c>
      <c r="B26" s="395"/>
      <c r="C26" s="395"/>
      <c r="D26" s="414">
        <v>110000</v>
      </c>
      <c r="E26" s="414"/>
      <c r="F26" s="414"/>
      <c r="G26" s="229">
        <v>85000.25</v>
      </c>
      <c r="H26" s="415">
        <v>110000</v>
      </c>
      <c r="I26" s="415"/>
      <c r="J26" s="415"/>
      <c r="K26" s="230">
        <v>85000.25</v>
      </c>
      <c r="L26" s="230">
        <v>113297.25</v>
      </c>
      <c r="M26" s="230">
        <v>28297</v>
      </c>
    </row>
    <row r="27" spans="1:13" ht="18" customHeight="1">
      <c r="A27" s="393" t="s">
        <v>296</v>
      </c>
      <c r="B27" s="393"/>
      <c r="C27" s="393"/>
      <c r="D27" s="419">
        <v>110000</v>
      </c>
      <c r="E27" s="419"/>
      <c r="F27" s="419"/>
      <c r="G27" s="233">
        <v>85000.25</v>
      </c>
      <c r="H27" s="420">
        <v>110000</v>
      </c>
      <c r="I27" s="420"/>
      <c r="J27" s="420"/>
      <c r="K27" s="234">
        <v>85000.25</v>
      </c>
      <c r="L27" s="234">
        <v>113297.25</v>
      </c>
      <c r="M27" s="234">
        <v>28297</v>
      </c>
    </row>
    <row r="28" spans="1:13" ht="18" customHeight="1">
      <c r="A28" s="395" t="s">
        <v>292</v>
      </c>
      <c r="B28" s="395"/>
      <c r="C28" s="395"/>
      <c r="D28" s="414">
        <v>0</v>
      </c>
      <c r="E28" s="414"/>
      <c r="F28" s="414"/>
      <c r="G28" s="229">
        <v>28119.25</v>
      </c>
      <c r="H28" s="415">
        <v>0</v>
      </c>
      <c r="I28" s="415"/>
      <c r="J28" s="415"/>
      <c r="K28" s="230">
        <v>28119.25</v>
      </c>
      <c r="L28" s="230">
        <v>42335.09</v>
      </c>
      <c r="M28" s="230">
        <v>14215.84</v>
      </c>
    </row>
    <row r="29" spans="1:13" ht="18" customHeight="1">
      <c r="A29" s="393" t="s">
        <v>297</v>
      </c>
      <c r="B29" s="393"/>
      <c r="C29" s="393"/>
      <c r="D29" s="419">
        <v>0</v>
      </c>
      <c r="E29" s="419"/>
      <c r="F29" s="419"/>
      <c r="G29" s="233">
        <v>0</v>
      </c>
      <c r="H29" s="420">
        <v>0</v>
      </c>
      <c r="I29" s="420"/>
      <c r="J29" s="420"/>
      <c r="K29" s="234">
        <v>0</v>
      </c>
      <c r="L29" s="234">
        <v>988.33</v>
      </c>
      <c r="M29" s="234">
        <v>988.33</v>
      </c>
    </row>
    <row r="30" spans="1:13" ht="18" customHeight="1">
      <c r="A30" s="395" t="s">
        <v>298</v>
      </c>
      <c r="B30" s="395"/>
      <c r="C30" s="395"/>
      <c r="D30" s="414">
        <v>0</v>
      </c>
      <c r="E30" s="414"/>
      <c r="F30" s="414"/>
      <c r="G30" s="229">
        <v>0</v>
      </c>
      <c r="H30" s="415">
        <v>0</v>
      </c>
      <c r="I30" s="415"/>
      <c r="J30" s="415"/>
      <c r="K30" s="230">
        <v>0</v>
      </c>
      <c r="L30" s="230">
        <v>2560.41</v>
      </c>
      <c r="M30" s="230">
        <v>2560.41</v>
      </c>
    </row>
    <row r="31" spans="1:13" ht="18" customHeight="1">
      <c r="A31" s="393" t="s">
        <v>299</v>
      </c>
      <c r="B31" s="393"/>
      <c r="C31" s="393"/>
      <c r="D31" s="419">
        <v>0</v>
      </c>
      <c r="E31" s="419"/>
      <c r="F31" s="419"/>
      <c r="G31" s="233">
        <v>28119.25</v>
      </c>
      <c r="H31" s="420">
        <v>0</v>
      </c>
      <c r="I31" s="420"/>
      <c r="J31" s="420"/>
      <c r="K31" s="234">
        <v>28119.25</v>
      </c>
      <c r="L31" s="234">
        <v>38786.35</v>
      </c>
      <c r="M31" s="234">
        <v>10667.1</v>
      </c>
    </row>
    <row r="32" spans="1:13" ht="18" customHeight="1">
      <c r="A32" s="395" t="s">
        <v>300</v>
      </c>
      <c r="B32" s="395"/>
      <c r="C32" s="395"/>
      <c r="D32" s="414">
        <v>800000</v>
      </c>
      <c r="E32" s="414"/>
      <c r="F32" s="414"/>
      <c r="G32" s="229">
        <v>869115.3</v>
      </c>
      <c r="H32" s="415">
        <v>800000</v>
      </c>
      <c r="I32" s="415"/>
      <c r="J32" s="415"/>
      <c r="K32" s="230">
        <v>869115.3</v>
      </c>
      <c r="L32" s="230">
        <v>0</v>
      </c>
      <c r="M32" s="230">
        <v>-869115.3</v>
      </c>
    </row>
    <row r="33" spans="1:13" ht="18" customHeight="1">
      <c r="A33" s="393" t="s">
        <v>301</v>
      </c>
      <c r="B33" s="393"/>
      <c r="C33" s="393"/>
      <c r="D33" s="419">
        <v>800000</v>
      </c>
      <c r="E33" s="419"/>
      <c r="F33" s="419"/>
      <c r="G33" s="233">
        <v>869115.3</v>
      </c>
      <c r="H33" s="420">
        <v>800000</v>
      </c>
      <c r="I33" s="420"/>
      <c r="J33" s="420"/>
      <c r="K33" s="234">
        <v>869115.3</v>
      </c>
      <c r="L33" s="234">
        <v>0</v>
      </c>
      <c r="M33" s="234">
        <v>-869115.3</v>
      </c>
    </row>
    <row r="34" spans="1:13" ht="18" customHeight="1">
      <c r="A34" s="395" t="s">
        <v>302</v>
      </c>
      <c r="B34" s="395"/>
      <c r="C34" s="395"/>
      <c r="D34" s="414">
        <v>800000</v>
      </c>
      <c r="E34" s="414"/>
      <c r="F34" s="414"/>
      <c r="G34" s="229">
        <v>869115.3</v>
      </c>
      <c r="H34" s="415">
        <v>800000</v>
      </c>
      <c r="I34" s="415"/>
      <c r="J34" s="415"/>
      <c r="K34" s="230">
        <v>869115.3</v>
      </c>
      <c r="L34" s="230">
        <v>0</v>
      </c>
      <c r="M34" s="230">
        <v>-869115.3</v>
      </c>
    </row>
    <row r="35" spans="1:13" ht="18" customHeight="1">
      <c r="A35" s="393" t="s">
        <v>303</v>
      </c>
      <c r="B35" s="393"/>
      <c r="C35" s="393"/>
      <c r="D35" s="419">
        <v>0</v>
      </c>
      <c r="E35" s="419"/>
      <c r="F35" s="419"/>
      <c r="G35" s="233">
        <v>0</v>
      </c>
      <c r="H35" s="420">
        <v>0</v>
      </c>
      <c r="I35" s="420"/>
      <c r="J35" s="420"/>
      <c r="K35" s="234">
        <v>0</v>
      </c>
      <c r="L35" s="234">
        <v>0</v>
      </c>
      <c r="M35" s="234">
        <v>0</v>
      </c>
    </row>
    <row r="36" spans="1:13" ht="18" customHeight="1">
      <c r="A36" s="416" t="s">
        <v>304</v>
      </c>
      <c r="B36" s="416"/>
      <c r="C36" s="416"/>
      <c r="D36" s="417">
        <v>4407303.8</v>
      </c>
      <c r="E36" s="417"/>
      <c r="F36" s="417"/>
      <c r="G36" s="231">
        <v>4363431.5999999996</v>
      </c>
      <c r="H36" s="418">
        <v>4407303.8</v>
      </c>
      <c r="I36" s="418"/>
      <c r="J36" s="418"/>
      <c r="K36" s="232">
        <v>4363431.5999999996</v>
      </c>
      <c r="L36" s="232">
        <v>3462563.36</v>
      </c>
      <c r="M36" s="232">
        <v>-900868.24</v>
      </c>
    </row>
    <row r="37" spans="1:13" ht="18" customHeight="1">
      <c r="A37" s="410" t="s">
        <v>305</v>
      </c>
      <c r="B37" s="410"/>
      <c r="C37" s="410"/>
      <c r="D37" s="411">
        <v>0</v>
      </c>
      <c r="E37" s="411"/>
      <c r="F37" s="411"/>
      <c r="G37" s="227">
        <v>0</v>
      </c>
      <c r="H37" s="412">
        <v>0</v>
      </c>
      <c r="I37" s="412"/>
      <c r="J37" s="412"/>
      <c r="K37" s="228">
        <v>0</v>
      </c>
      <c r="L37" s="228">
        <v>0</v>
      </c>
      <c r="M37" s="228">
        <v>0</v>
      </c>
    </row>
    <row r="38" spans="1:13" ht="18" customHeight="1">
      <c r="A38" s="416" t="s">
        <v>198</v>
      </c>
      <c r="B38" s="416"/>
      <c r="C38" s="416"/>
      <c r="D38" s="417">
        <v>4407303.8</v>
      </c>
      <c r="E38" s="417"/>
      <c r="F38" s="417"/>
      <c r="G38" s="231">
        <v>4363431.5999999996</v>
      </c>
      <c r="H38" s="418">
        <v>4407303.8</v>
      </c>
      <c r="I38" s="418"/>
      <c r="J38" s="418"/>
      <c r="K38" s="232">
        <v>4363431.5999999996</v>
      </c>
      <c r="L38" s="232">
        <v>3462563.36</v>
      </c>
      <c r="M38" s="232">
        <v>-900868.24</v>
      </c>
    </row>
    <row r="39" spans="1:13" ht="25.5" customHeight="1">
      <c r="A39" s="421" t="s">
        <v>306</v>
      </c>
      <c r="B39" s="421"/>
      <c r="C39" s="421"/>
      <c r="D39" s="422" t="s">
        <v>307</v>
      </c>
      <c r="E39" s="422"/>
      <c r="F39" s="422"/>
      <c r="G39" s="235" t="s">
        <v>308</v>
      </c>
      <c r="H39" s="422" t="s">
        <v>309</v>
      </c>
      <c r="I39" s="422"/>
      <c r="J39" s="422"/>
      <c r="K39" s="235" t="s">
        <v>310</v>
      </c>
      <c r="L39" s="235" t="s">
        <v>311</v>
      </c>
      <c r="M39" s="235" t="s">
        <v>312</v>
      </c>
    </row>
    <row r="40" spans="1:13" ht="18" customHeight="1">
      <c r="A40" s="393" t="s">
        <v>313</v>
      </c>
      <c r="B40" s="393"/>
      <c r="C40" s="393"/>
      <c r="D40" s="419">
        <v>3520383.55</v>
      </c>
      <c r="E40" s="419"/>
      <c r="F40" s="419"/>
      <c r="G40" s="233">
        <v>3479554.64</v>
      </c>
      <c r="H40" s="420">
        <v>3179440.48</v>
      </c>
      <c r="I40" s="420"/>
      <c r="J40" s="420"/>
      <c r="K40" s="234">
        <v>3114326.92</v>
      </c>
      <c r="L40" s="234">
        <v>3076997.26</v>
      </c>
      <c r="M40" s="234">
        <v>300114.15999999997</v>
      </c>
    </row>
    <row r="41" spans="1:13" ht="18" customHeight="1">
      <c r="A41" s="395" t="s">
        <v>314</v>
      </c>
      <c r="B41" s="395"/>
      <c r="C41" s="395"/>
      <c r="D41" s="414">
        <v>1850128.88</v>
      </c>
      <c r="E41" s="414"/>
      <c r="F41" s="414"/>
      <c r="G41" s="229">
        <v>1904819.38</v>
      </c>
      <c r="H41" s="415">
        <v>1881791.56</v>
      </c>
      <c r="I41" s="415"/>
      <c r="J41" s="415"/>
      <c r="K41" s="230">
        <v>1881791.56</v>
      </c>
      <c r="L41" s="230">
        <v>1881791.56</v>
      </c>
      <c r="M41" s="230">
        <v>23027.82</v>
      </c>
    </row>
    <row r="42" spans="1:13" ht="18" customHeight="1">
      <c r="A42" s="393" t="s">
        <v>315</v>
      </c>
      <c r="B42" s="393"/>
      <c r="C42" s="393"/>
      <c r="D42" s="419">
        <v>1850128.88</v>
      </c>
      <c r="E42" s="419"/>
      <c r="F42" s="419"/>
      <c r="G42" s="233">
        <v>1904819.38</v>
      </c>
      <c r="H42" s="420">
        <v>1881791.56</v>
      </c>
      <c r="I42" s="420"/>
      <c r="J42" s="420"/>
      <c r="K42" s="234">
        <v>1881791.56</v>
      </c>
      <c r="L42" s="234">
        <v>1881791.56</v>
      </c>
      <c r="M42" s="234">
        <v>23027.82</v>
      </c>
    </row>
    <row r="43" spans="1:13" ht="18" customHeight="1">
      <c r="A43" s="395" t="s">
        <v>316</v>
      </c>
      <c r="B43" s="395"/>
      <c r="C43" s="395"/>
      <c r="D43" s="414">
        <v>108000</v>
      </c>
      <c r="E43" s="414"/>
      <c r="F43" s="414"/>
      <c r="G43" s="229">
        <v>119973.75999999999</v>
      </c>
      <c r="H43" s="415">
        <v>110491.22</v>
      </c>
      <c r="I43" s="415"/>
      <c r="J43" s="415"/>
      <c r="K43" s="230">
        <v>109612.76</v>
      </c>
      <c r="L43" s="230">
        <v>108977.06</v>
      </c>
      <c r="M43" s="230">
        <v>9482.5400000000009</v>
      </c>
    </row>
    <row r="44" spans="1:13" ht="18" customHeight="1">
      <c r="A44" s="393" t="s">
        <v>316</v>
      </c>
      <c r="B44" s="393"/>
      <c r="C44" s="393"/>
      <c r="D44" s="419">
        <v>108000</v>
      </c>
      <c r="E44" s="419"/>
      <c r="F44" s="419"/>
      <c r="G44" s="233">
        <v>119973.75999999999</v>
      </c>
      <c r="H44" s="420">
        <v>110491.22</v>
      </c>
      <c r="I44" s="420"/>
      <c r="J44" s="420"/>
      <c r="K44" s="234">
        <v>109612.76</v>
      </c>
      <c r="L44" s="234">
        <v>108977.06</v>
      </c>
      <c r="M44" s="234">
        <v>9482.5400000000009</v>
      </c>
    </row>
    <row r="45" spans="1:13" ht="18" customHeight="1">
      <c r="A45" s="395" t="s">
        <v>317</v>
      </c>
      <c r="B45" s="395"/>
      <c r="C45" s="395"/>
      <c r="D45" s="414">
        <v>106160</v>
      </c>
      <c r="E45" s="414"/>
      <c r="F45" s="414"/>
      <c r="G45" s="229">
        <v>125531.11</v>
      </c>
      <c r="H45" s="415">
        <v>93576.26</v>
      </c>
      <c r="I45" s="415"/>
      <c r="J45" s="415"/>
      <c r="K45" s="230">
        <v>93576.26</v>
      </c>
      <c r="L45" s="230">
        <v>93576.26</v>
      </c>
      <c r="M45" s="230">
        <v>31954.85</v>
      </c>
    </row>
    <row r="46" spans="1:13" ht="18" customHeight="1">
      <c r="A46" s="393" t="s">
        <v>318</v>
      </c>
      <c r="B46" s="393"/>
      <c r="C46" s="393"/>
      <c r="D46" s="419">
        <v>80360</v>
      </c>
      <c r="E46" s="419"/>
      <c r="F46" s="419"/>
      <c r="G46" s="233">
        <v>72262</v>
      </c>
      <c r="H46" s="420">
        <v>41078.01</v>
      </c>
      <c r="I46" s="420"/>
      <c r="J46" s="420"/>
      <c r="K46" s="234">
        <v>41078.01</v>
      </c>
      <c r="L46" s="234">
        <v>41078.01</v>
      </c>
      <c r="M46" s="234">
        <v>31183.99</v>
      </c>
    </row>
    <row r="47" spans="1:13" ht="18" customHeight="1">
      <c r="A47" s="395" t="s">
        <v>319</v>
      </c>
      <c r="B47" s="395"/>
      <c r="C47" s="395"/>
      <c r="D47" s="414">
        <v>25800</v>
      </c>
      <c r="E47" s="414"/>
      <c r="F47" s="414"/>
      <c r="G47" s="229">
        <v>53269.11</v>
      </c>
      <c r="H47" s="415">
        <v>52498.25</v>
      </c>
      <c r="I47" s="415"/>
      <c r="J47" s="415"/>
      <c r="K47" s="230">
        <v>52498.25</v>
      </c>
      <c r="L47" s="230">
        <v>52498.25</v>
      </c>
      <c r="M47" s="230">
        <v>770.86</v>
      </c>
    </row>
    <row r="48" spans="1:13" ht="18" customHeight="1">
      <c r="A48" s="393" t="s">
        <v>320</v>
      </c>
      <c r="B48" s="393"/>
      <c r="C48" s="393"/>
      <c r="D48" s="419">
        <v>1015410.58</v>
      </c>
      <c r="E48" s="419"/>
      <c r="F48" s="419"/>
      <c r="G48" s="233">
        <v>883784.83</v>
      </c>
      <c r="H48" s="420">
        <v>652208.32999999996</v>
      </c>
      <c r="I48" s="420"/>
      <c r="J48" s="420"/>
      <c r="K48" s="234">
        <v>587973.23</v>
      </c>
      <c r="L48" s="234">
        <v>551279.27</v>
      </c>
      <c r="M48" s="234">
        <v>231576.5</v>
      </c>
    </row>
    <row r="49" spans="1:13" ht="18" customHeight="1">
      <c r="A49" s="395" t="s">
        <v>321</v>
      </c>
      <c r="B49" s="395"/>
      <c r="C49" s="395"/>
      <c r="D49" s="414">
        <v>20610.580000000002</v>
      </c>
      <c r="E49" s="414"/>
      <c r="F49" s="414"/>
      <c r="G49" s="229">
        <v>68000</v>
      </c>
      <c r="H49" s="415">
        <v>46348</v>
      </c>
      <c r="I49" s="415"/>
      <c r="J49" s="415"/>
      <c r="K49" s="230">
        <v>22674</v>
      </c>
      <c r="L49" s="230">
        <v>22674</v>
      </c>
      <c r="M49" s="230">
        <v>21652</v>
      </c>
    </row>
    <row r="50" spans="1:13" ht="18" customHeight="1">
      <c r="A50" s="393" t="s">
        <v>322</v>
      </c>
      <c r="B50" s="393"/>
      <c r="C50" s="393"/>
      <c r="D50" s="419">
        <v>62000</v>
      </c>
      <c r="E50" s="419"/>
      <c r="F50" s="419"/>
      <c r="G50" s="233">
        <v>42000</v>
      </c>
      <c r="H50" s="420">
        <v>9119.0400000000009</v>
      </c>
      <c r="I50" s="420"/>
      <c r="J50" s="420"/>
      <c r="K50" s="234">
        <v>9119.0400000000009</v>
      </c>
      <c r="L50" s="234">
        <v>9119.0400000000009</v>
      </c>
      <c r="M50" s="234">
        <v>32880.959999999999</v>
      </c>
    </row>
    <row r="51" spans="1:13" ht="18" customHeight="1">
      <c r="A51" s="395" t="s">
        <v>323</v>
      </c>
      <c r="B51" s="395"/>
      <c r="C51" s="395"/>
      <c r="D51" s="414">
        <v>900600</v>
      </c>
      <c r="E51" s="414"/>
      <c r="F51" s="414"/>
      <c r="G51" s="229">
        <v>703975.99</v>
      </c>
      <c r="H51" s="415">
        <v>529156.22</v>
      </c>
      <c r="I51" s="415"/>
      <c r="J51" s="415"/>
      <c r="K51" s="230">
        <v>488595.12</v>
      </c>
      <c r="L51" s="230">
        <v>452235.65</v>
      </c>
      <c r="M51" s="230">
        <v>174819.77</v>
      </c>
    </row>
    <row r="52" spans="1:13" ht="18" customHeight="1">
      <c r="A52" s="393" t="s">
        <v>324</v>
      </c>
      <c r="B52" s="393"/>
      <c r="C52" s="393"/>
      <c r="D52" s="419">
        <v>32200</v>
      </c>
      <c r="E52" s="419"/>
      <c r="F52" s="419"/>
      <c r="G52" s="233">
        <v>69808.84</v>
      </c>
      <c r="H52" s="420">
        <v>67585.070000000007</v>
      </c>
      <c r="I52" s="420"/>
      <c r="J52" s="420"/>
      <c r="K52" s="234">
        <v>67585.070000000007</v>
      </c>
      <c r="L52" s="234">
        <v>67250.58</v>
      </c>
      <c r="M52" s="234">
        <v>2223.77</v>
      </c>
    </row>
    <row r="53" spans="1:13" ht="18" customHeight="1">
      <c r="A53" s="395" t="s">
        <v>325</v>
      </c>
      <c r="B53" s="395"/>
      <c r="C53" s="395"/>
      <c r="D53" s="414">
        <v>83000</v>
      </c>
      <c r="E53" s="414"/>
      <c r="F53" s="414"/>
      <c r="G53" s="229">
        <v>99207.92</v>
      </c>
      <c r="H53" s="415">
        <v>95135.72</v>
      </c>
      <c r="I53" s="415"/>
      <c r="J53" s="415"/>
      <c r="K53" s="230">
        <v>95135.72</v>
      </c>
      <c r="L53" s="230">
        <v>95135.72</v>
      </c>
      <c r="M53" s="230">
        <v>4072.2</v>
      </c>
    </row>
    <row r="54" spans="1:13" ht="18" customHeight="1">
      <c r="A54" s="393" t="s">
        <v>325</v>
      </c>
      <c r="B54" s="393"/>
      <c r="C54" s="393"/>
      <c r="D54" s="419">
        <v>83000</v>
      </c>
      <c r="E54" s="419"/>
      <c r="F54" s="419"/>
      <c r="G54" s="233">
        <v>99207.92</v>
      </c>
      <c r="H54" s="420">
        <v>95135.72</v>
      </c>
      <c r="I54" s="420"/>
      <c r="J54" s="420"/>
      <c r="K54" s="234">
        <v>95135.72</v>
      </c>
      <c r="L54" s="234">
        <v>95135.72</v>
      </c>
      <c r="M54" s="234">
        <v>4072.2</v>
      </c>
    </row>
    <row r="55" spans="1:13" ht="18" customHeight="1">
      <c r="A55" s="395" t="s">
        <v>326</v>
      </c>
      <c r="B55" s="395"/>
      <c r="C55" s="395"/>
      <c r="D55" s="414">
        <v>357684.09</v>
      </c>
      <c r="E55" s="414"/>
      <c r="F55" s="414"/>
      <c r="G55" s="229">
        <v>346237.64</v>
      </c>
      <c r="H55" s="415">
        <v>346237.39</v>
      </c>
      <c r="I55" s="415"/>
      <c r="J55" s="415"/>
      <c r="K55" s="230">
        <v>346237.39</v>
      </c>
      <c r="L55" s="230">
        <v>346237.39</v>
      </c>
      <c r="M55" s="230">
        <v>0.25</v>
      </c>
    </row>
    <row r="56" spans="1:13" ht="18" customHeight="1">
      <c r="A56" s="393" t="s">
        <v>327</v>
      </c>
      <c r="B56" s="393"/>
      <c r="C56" s="393"/>
      <c r="D56" s="419">
        <v>68680.55</v>
      </c>
      <c r="E56" s="419"/>
      <c r="F56" s="419"/>
      <c r="G56" s="233">
        <v>57234.1</v>
      </c>
      <c r="H56" s="420">
        <v>57234.1</v>
      </c>
      <c r="I56" s="420"/>
      <c r="J56" s="420"/>
      <c r="K56" s="234">
        <v>57234.1</v>
      </c>
      <c r="L56" s="234">
        <v>57234.1</v>
      </c>
      <c r="M56" s="234">
        <v>0</v>
      </c>
    </row>
    <row r="57" spans="1:13" ht="18" customHeight="1">
      <c r="A57" s="395" t="s">
        <v>328</v>
      </c>
      <c r="B57" s="395"/>
      <c r="C57" s="395"/>
      <c r="D57" s="414">
        <v>31805.29</v>
      </c>
      <c r="E57" s="414"/>
      <c r="F57" s="414"/>
      <c r="G57" s="229">
        <v>31805.29</v>
      </c>
      <c r="H57" s="415">
        <v>31805.29</v>
      </c>
      <c r="I57" s="415"/>
      <c r="J57" s="415"/>
      <c r="K57" s="230">
        <v>31805.29</v>
      </c>
      <c r="L57" s="230">
        <v>31805.29</v>
      </c>
      <c r="M57" s="230">
        <v>0</v>
      </c>
    </row>
    <row r="58" spans="1:13" ht="18" customHeight="1">
      <c r="A58" s="393" t="s">
        <v>329</v>
      </c>
      <c r="B58" s="393"/>
      <c r="C58" s="393"/>
      <c r="D58" s="419">
        <v>257198.25</v>
      </c>
      <c r="E58" s="419"/>
      <c r="F58" s="419"/>
      <c r="G58" s="233">
        <v>257198.25</v>
      </c>
      <c r="H58" s="420">
        <v>257198</v>
      </c>
      <c r="I58" s="420"/>
      <c r="J58" s="420"/>
      <c r="K58" s="234">
        <v>257198</v>
      </c>
      <c r="L58" s="234">
        <v>257198</v>
      </c>
      <c r="M58" s="234">
        <v>0.25</v>
      </c>
    </row>
    <row r="59" spans="1:13" ht="18" customHeight="1">
      <c r="A59" s="395" t="s">
        <v>330</v>
      </c>
      <c r="B59" s="395"/>
      <c r="C59" s="395"/>
      <c r="D59" s="414">
        <v>855114.96</v>
      </c>
      <c r="E59" s="414"/>
      <c r="F59" s="414"/>
      <c r="G59" s="229">
        <v>868882.96</v>
      </c>
      <c r="H59" s="415">
        <v>17729</v>
      </c>
      <c r="I59" s="415"/>
      <c r="J59" s="415"/>
      <c r="K59" s="230">
        <v>17729</v>
      </c>
      <c r="L59" s="230">
        <v>13675</v>
      </c>
      <c r="M59" s="230">
        <v>851153.96</v>
      </c>
    </row>
    <row r="60" spans="1:13" ht="18" customHeight="1">
      <c r="A60" s="393" t="s">
        <v>331</v>
      </c>
      <c r="B60" s="393"/>
      <c r="C60" s="393"/>
      <c r="D60" s="419">
        <v>855114.96</v>
      </c>
      <c r="E60" s="419"/>
      <c r="F60" s="419"/>
      <c r="G60" s="233">
        <v>868882.96</v>
      </c>
      <c r="H60" s="420">
        <v>17729</v>
      </c>
      <c r="I60" s="420"/>
      <c r="J60" s="420"/>
      <c r="K60" s="234">
        <v>17729</v>
      </c>
      <c r="L60" s="234">
        <v>13675</v>
      </c>
      <c r="M60" s="234">
        <v>851153.96</v>
      </c>
    </row>
    <row r="61" spans="1:13" ht="18" customHeight="1">
      <c r="A61" s="395" t="s">
        <v>332</v>
      </c>
      <c r="B61" s="395"/>
      <c r="C61" s="395"/>
      <c r="D61" s="414">
        <v>495114.96</v>
      </c>
      <c r="E61" s="414"/>
      <c r="F61" s="414"/>
      <c r="G61" s="229">
        <v>495114.96</v>
      </c>
      <c r="H61" s="415">
        <v>0</v>
      </c>
      <c r="I61" s="415"/>
      <c r="J61" s="415"/>
      <c r="K61" s="230">
        <v>0</v>
      </c>
      <c r="L61" s="230">
        <v>0</v>
      </c>
      <c r="M61" s="230">
        <v>495114.96</v>
      </c>
    </row>
    <row r="62" spans="1:13" ht="18" customHeight="1">
      <c r="A62" s="393" t="s">
        <v>333</v>
      </c>
      <c r="B62" s="393"/>
      <c r="C62" s="393"/>
      <c r="D62" s="419">
        <v>360000</v>
      </c>
      <c r="E62" s="419"/>
      <c r="F62" s="419"/>
      <c r="G62" s="233">
        <v>373768</v>
      </c>
      <c r="H62" s="420">
        <v>17729</v>
      </c>
      <c r="I62" s="420"/>
      <c r="J62" s="420"/>
      <c r="K62" s="234">
        <v>17729</v>
      </c>
      <c r="L62" s="234">
        <v>13675</v>
      </c>
      <c r="M62" s="234">
        <v>356039</v>
      </c>
    </row>
    <row r="63" spans="1:13" ht="18" customHeight="1">
      <c r="A63" s="395" t="s">
        <v>334</v>
      </c>
      <c r="B63" s="395"/>
      <c r="C63" s="395"/>
      <c r="D63" s="414">
        <v>31805.29</v>
      </c>
      <c r="E63" s="414"/>
      <c r="F63" s="414"/>
      <c r="G63" s="229">
        <v>14994</v>
      </c>
      <c r="H63" s="415">
        <v>0</v>
      </c>
      <c r="I63" s="415"/>
      <c r="J63" s="415"/>
      <c r="K63" s="230">
        <v>0</v>
      </c>
      <c r="L63" s="230">
        <v>0</v>
      </c>
      <c r="M63" s="230">
        <v>14994</v>
      </c>
    </row>
    <row r="64" spans="1:13" ht="18" customHeight="1">
      <c r="A64" s="410" t="s">
        <v>335</v>
      </c>
      <c r="B64" s="410"/>
      <c r="C64" s="410"/>
      <c r="D64" s="411">
        <v>4407303.8</v>
      </c>
      <c r="E64" s="411"/>
      <c r="F64" s="411"/>
      <c r="G64" s="227">
        <v>4363431.5999999996</v>
      </c>
      <c r="H64" s="412">
        <v>3197169.48</v>
      </c>
      <c r="I64" s="412"/>
      <c r="J64" s="412"/>
      <c r="K64" s="228">
        <v>3132055.92</v>
      </c>
      <c r="L64" s="228">
        <v>3090672.26</v>
      </c>
      <c r="M64" s="228">
        <v>1166262.1200000001</v>
      </c>
    </row>
    <row r="65" spans="1:13" ht="18" customHeight="1">
      <c r="A65" s="416" t="s">
        <v>336</v>
      </c>
      <c r="B65" s="416"/>
      <c r="C65" s="416"/>
      <c r="D65" s="417">
        <v>0</v>
      </c>
      <c r="E65" s="417"/>
      <c r="F65" s="417"/>
      <c r="G65" s="231">
        <v>0</v>
      </c>
      <c r="H65" s="418">
        <v>265393.88</v>
      </c>
      <c r="I65" s="418"/>
      <c r="J65" s="418"/>
      <c r="K65" s="232">
        <v>0</v>
      </c>
      <c r="L65" s="232">
        <v>0</v>
      </c>
      <c r="M65" s="232">
        <v>-265393.88</v>
      </c>
    </row>
    <row r="66" spans="1:13" ht="18" customHeight="1">
      <c r="A66" s="410" t="s">
        <v>198</v>
      </c>
      <c r="B66" s="410"/>
      <c r="C66" s="410"/>
      <c r="D66" s="411">
        <v>4407303.8</v>
      </c>
      <c r="E66" s="411"/>
      <c r="F66" s="411"/>
      <c r="G66" s="227">
        <v>4363431.5999999996</v>
      </c>
      <c r="H66" s="412">
        <v>3462563.36</v>
      </c>
      <c r="I66" s="412"/>
      <c r="J66" s="412"/>
      <c r="K66" s="228">
        <v>3132055.92</v>
      </c>
      <c r="L66" s="228">
        <v>3090672.26</v>
      </c>
      <c r="M66" s="228">
        <v>900868.24</v>
      </c>
    </row>
    <row r="67" spans="1:13" ht="14.25" customHeight="1"/>
    <row r="68" spans="1:13" ht="12.75" customHeight="1">
      <c r="L68" s="390" t="s">
        <v>238</v>
      </c>
      <c r="M68" s="390"/>
    </row>
    <row r="69" spans="1:13" ht="12.75" customHeight="1">
      <c r="F69" s="413" t="s">
        <v>337</v>
      </c>
      <c r="G69" s="413"/>
      <c r="H69" s="413"/>
    </row>
    <row r="70" spans="1:13" ht="7.5" customHeight="1"/>
    <row r="71" spans="1:13" ht="13.5" customHeight="1">
      <c r="E71" s="413" t="s">
        <v>337</v>
      </c>
      <c r="F71" s="413"/>
      <c r="G71" s="413"/>
      <c r="H71" s="413"/>
      <c r="I71" s="413"/>
      <c r="L71" s="390" t="s">
        <v>238</v>
      </c>
      <c r="M71" s="390"/>
    </row>
  </sheetData>
  <mergeCells count="171">
    <mergeCell ref="A2:K2"/>
    <mergeCell ref="A3:K3"/>
    <mergeCell ref="A5:C6"/>
    <mergeCell ref="A8:M8"/>
    <mergeCell ref="L9:M9"/>
    <mergeCell ref="A10:M10"/>
    <mergeCell ref="A11:M11"/>
    <mergeCell ref="A13:M13"/>
    <mergeCell ref="A14:C14"/>
    <mergeCell ref="D14:F14"/>
    <mergeCell ref="H14:J14"/>
    <mergeCell ref="A15:C15"/>
    <mergeCell ref="D15:F15"/>
    <mergeCell ref="H15:J15"/>
    <mergeCell ref="A16:C16"/>
    <mergeCell ref="D16:F16"/>
    <mergeCell ref="H16:J16"/>
    <mergeCell ref="A17:C17"/>
    <mergeCell ref="D17:F17"/>
    <mergeCell ref="H17:J17"/>
    <mergeCell ref="A18:C18"/>
    <mergeCell ref="D18:F18"/>
    <mergeCell ref="H18:J18"/>
    <mergeCell ref="A19:C19"/>
    <mergeCell ref="D19:F19"/>
    <mergeCell ref="H19:J19"/>
    <mergeCell ref="A20:C20"/>
    <mergeCell ref="D20:F20"/>
    <mergeCell ref="H20:J20"/>
    <mergeCell ref="A21:C21"/>
    <mergeCell ref="D21:F21"/>
    <mergeCell ref="H21:J21"/>
    <mergeCell ref="A22:C22"/>
    <mergeCell ref="D22:F22"/>
    <mergeCell ref="H22:J22"/>
    <mergeCell ref="A23:C23"/>
    <mergeCell ref="D23:F23"/>
    <mergeCell ref="H23:J23"/>
    <mergeCell ref="A24:C24"/>
    <mergeCell ref="D24:F24"/>
    <mergeCell ref="H24:J24"/>
    <mergeCell ref="A25:C25"/>
    <mergeCell ref="D25:F25"/>
    <mergeCell ref="H25:J25"/>
    <mergeCell ref="A26:C26"/>
    <mergeCell ref="D26:F26"/>
    <mergeCell ref="H26:J26"/>
    <mergeCell ref="A27:C27"/>
    <mergeCell ref="D27:F27"/>
    <mergeCell ref="H27:J27"/>
    <mergeCell ref="A28:C28"/>
    <mergeCell ref="D28:F28"/>
    <mergeCell ref="H28:J28"/>
    <mergeCell ref="A29:C29"/>
    <mergeCell ref="D29:F29"/>
    <mergeCell ref="H29:J29"/>
    <mergeCell ref="A30:C30"/>
    <mergeCell ref="D30:F30"/>
    <mergeCell ref="H30:J30"/>
    <mergeCell ref="A31:C31"/>
    <mergeCell ref="D31:F31"/>
    <mergeCell ref="H31:J31"/>
    <mergeCell ref="A32:C32"/>
    <mergeCell ref="D32:F32"/>
    <mergeCell ref="H32:J32"/>
    <mergeCell ref="A33:C33"/>
    <mergeCell ref="D33:F33"/>
    <mergeCell ref="H33:J33"/>
    <mergeCell ref="A34:C34"/>
    <mergeCell ref="D34:F34"/>
    <mergeCell ref="H34:J34"/>
    <mergeCell ref="A35:C35"/>
    <mergeCell ref="D35:F35"/>
    <mergeCell ref="H35:J35"/>
    <mergeCell ref="A36:C36"/>
    <mergeCell ref="D36:F36"/>
    <mergeCell ref="H36:J36"/>
    <mergeCell ref="A37:C37"/>
    <mergeCell ref="D37:F37"/>
    <mergeCell ref="H37:J37"/>
    <mergeCell ref="A38:C38"/>
    <mergeCell ref="D38:F38"/>
    <mergeCell ref="H38:J38"/>
    <mergeCell ref="A39:C39"/>
    <mergeCell ref="D39:F39"/>
    <mergeCell ref="H39:J39"/>
    <mergeCell ref="A40:C40"/>
    <mergeCell ref="D40:F40"/>
    <mergeCell ref="H40:J40"/>
    <mergeCell ref="A41:C41"/>
    <mergeCell ref="D41:F41"/>
    <mergeCell ref="H41:J41"/>
    <mergeCell ref="A42:C42"/>
    <mergeCell ref="D42:F42"/>
    <mergeCell ref="H42:J42"/>
    <mergeCell ref="A43:C43"/>
    <mergeCell ref="D43:F43"/>
    <mergeCell ref="H43:J43"/>
    <mergeCell ref="A44:C44"/>
    <mergeCell ref="D44:F44"/>
    <mergeCell ref="H44:J44"/>
    <mergeCell ref="A45:C45"/>
    <mergeCell ref="D45:F45"/>
    <mergeCell ref="H45:J45"/>
    <mergeCell ref="A46:C46"/>
    <mergeCell ref="D46:F46"/>
    <mergeCell ref="H46:J46"/>
    <mergeCell ref="A47:C47"/>
    <mergeCell ref="D47:F47"/>
    <mergeCell ref="H47:J47"/>
    <mergeCell ref="A48:C48"/>
    <mergeCell ref="D48:F48"/>
    <mergeCell ref="H48:J48"/>
    <mergeCell ref="A49:C49"/>
    <mergeCell ref="D49:F49"/>
    <mergeCell ref="H49:J49"/>
    <mergeCell ref="A50:C50"/>
    <mergeCell ref="D50:F50"/>
    <mergeCell ref="H50:J50"/>
    <mergeCell ref="A51:C51"/>
    <mergeCell ref="D51:F51"/>
    <mergeCell ref="H51:J51"/>
    <mergeCell ref="A52:C52"/>
    <mergeCell ref="D52:F52"/>
    <mergeCell ref="H52:J52"/>
    <mergeCell ref="A53:C53"/>
    <mergeCell ref="D53:F53"/>
    <mergeCell ref="H53:J53"/>
    <mergeCell ref="A54:C54"/>
    <mergeCell ref="D54:F54"/>
    <mergeCell ref="H54:J54"/>
    <mergeCell ref="A55:C55"/>
    <mergeCell ref="D55:F55"/>
    <mergeCell ref="H55:J55"/>
    <mergeCell ref="A56:C56"/>
    <mergeCell ref="D56:F56"/>
    <mergeCell ref="H56:J56"/>
    <mergeCell ref="A57:C57"/>
    <mergeCell ref="D57:F57"/>
    <mergeCell ref="H57:J57"/>
    <mergeCell ref="A58:C58"/>
    <mergeCell ref="D58:F58"/>
    <mergeCell ref="H58:J58"/>
    <mergeCell ref="A59:C59"/>
    <mergeCell ref="D59:F59"/>
    <mergeCell ref="H59:J59"/>
    <mergeCell ref="A60:C60"/>
    <mergeCell ref="D60:F60"/>
    <mergeCell ref="H60:J60"/>
    <mergeCell ref="A61:C61"/>
    <mergeCell ref="D61:F61"/>
    <mergeCell ref="H61:J61"/>
    <mergeCell ref="A62:C62"/>
    <mergeCell ref="D62:F62"/>
    <mergeCell ref="H62:J62"/>
    <mergeCell ref="A66:C66"/>
    <mergeCell ref="D66:F66"/>
    <mergeCell ref="H66:J66"/>
    <mergeCell ref="L68:M68"/>
    <mergeCell ref="F69:H69"/>
    <mergeCell ref="E71:I71"/>
    <mergeCell ref="L71:M71"/>
    <mergeCell ref="A63:C63"/>
    <mergeCell ref="D63:F63"/>
    <mergeCell ref="H63:J63"/>
    <mergeCell ref="A64:C64"/>
    <mergeCell ref="D64:F64"/>
    <mergeCell ref="H64:J64"/>
    <mergeCell ref="A65:C65"/>
    <mergeCell ref="D65:F65"/>
    <mergeCell ref="H65:J65"/>
  </mergeCells>
  <pageMargins left="0.19666667282581329" right="0.19666667282581329" top="0.20000000298023224" bottom="0.20000000298023224" header="0.3" footer="0.3"/>
  <pageSetup paperSize="9" orientation="landscape" errors="blank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A2:S32"/>
  <sheetViews>
    <sheetView topLeftCell="B5" zoomScale="80" zoomScaleNormal="80" workbookViewId="0">
      <selection activeCell="K21" sqref="K21"/>
    </sheetView>
  </sheetViews>
  <sheetFormatPr defaultRowHeight="15"/>
  <cols>
    <col min="1" max="1" width="9.140625" style="22"/>
    <col min="2" max="2" width="35.5703125" style="22" customWidth="1"/>
    <col min="3" max="3" width="24.28515625" style="22" customWidth="1"/>
    <col min="4" max="4" width="20.140625" style="22" customWidth="1"/>
    <col min="5" max="5" width="19.7109375" style="22" customWidth="1"/>
    <col min="6" max="6" width="14.5703125" style="22" customWidth="1"/>
    <col min="7" max="7" width="18.28515625" style="201" hidden="1" customWidth="1"/>
    <col min="8" max="9" width="18.28515625" style="201" customWidth="1"/>
    <col min="10" max="10" width="10.7109375" style="22" customWidth="1"/>
    <col min="11" max="11" width="65.42578125" style="22" customWidth="1"/>
    <col min="12" max="12" width="9.85546875" style="22" customWidth="1"/>
    <col min="13" max="13" width="18.5703125" style="22" customWidth="1"/>
    <col min="14" max="14" width="20" style="22" customWidth="1"/>
    <col min="15" max="15" width="17.42578125" style="22" customWidth="1"/>
    <col min="16" max="16" width="15.42578125" style="22" hidden="1" customWidth="1"/>
    <col min="17" max="18" width="17.7109375" style="22" bestFit="1" customWidth="1"/>
    <col min="19" max="19" width="15.42578125" style="22" customWidth="1"/>
    <col min="20" max="234" width="9.140625" style="22"/>
    <col min="235" max="235" width="35.5703125" style="22" customWidth="1"/>
    <col min="236" max="236" width="23" style="22" customWidth="1"/>
    <col min="237" max="237" width="17.7109375" style="22" customWidth="1"/>
    <col min="238" max="238" width="18.42578125" style="22" customWidth="1"/>
    <col min="239" max="240" width="13.140625" style="22" customWidth="1"/>
    <col min="241" max="241" width="10.7109375" style="22" customWidth="1"/>
    <col min="242" max="242" width="40.85546875" style="22" customWidth="1"/>
    <col min="243" max="243" width="34.140625" style="22" customWidth="1"/>
    <col min="244" max="244" width="16" style="22" customWidth="1"/>
    <col min="245" max="245" width="15.7109375" style="22" customWidth="1"/>
    <col min="246" max="246" width="17.42578125" style="22" customWidth="1"/>
    <col min="247" max="247" width="10.7109375" style="22" customWidth="1"/>
    <col min="248" max="248" width="13" style="22" customWidth="1"/>
    <col min="249" max="249" width="16.7109375" style="22" customWidth="1"/>
    <col min="250" max="490" width="9.140625" style="22"/>
    <col min="491" max="491" width="35.5703125" style="22" customWidth="1"/>
    <col min="492" max="492" width="23" style="22" customWidth="1"/>
    <col min="493" max="493" width="17.7109375" style="22" customWidth="1"/>
    <col min="494" max="494" width="18.42578125" style="22" customWidth="1"/>
    <col min="495" max="496" width="13.140625" style="22" customWidth="1"/>
    <col min="497" max="497" width="10.7109375" style="22" customWidth="1"/>
    <col min="498" max="498" width="40.85546875" style="22" customWidth="1"/>
    <col min="499" max="499" width="34.140625" style="22" customWidth="1"/>
    <col min="500" max="500" width="16" style="22" customWidth="1"/>
    <col min="501" max="501" width="15.7109375" style="22" customWidth="1"/>
    <col min="502" max="502" width="17.42578125" style="22" customWidth="1"/>
    <col min="503" max="503" width="10.7109375" style="22" customWidth="1"/>
    <col min="504" max="504" width="13" style="22" customWidth="1"/>
    <col min="505" max="505" width="16.7109375" style="22" customWidth="1"/>
    <col min="506" max="746" width="9.140625" style="22"/>
    <col min="747" max="747" width="35.5703125" style="22" customWidth="1"/>
    <col min="748" max="748" width="23" style="22" customWidth="1"/>
    <col min="749" max="749" width="17.7109375" style="22" customWidth="1"/>
    <col min="750" max="750" width="18.42578125" style="22" customWidth="1"/>
    <col min="751" max="752" width="13.140625" style="22" customWidth="1"/>
    <col min="753" max="753" width="10.7109375" style="22" customWidth="1"/>
    <col min="754" max="754" width="40.85546875" style="22" customWidth="1"/>
    <col min="755" max="755" width="34.140625" style="22" customWidth="1"/>
    <col min="756" max="756" width="16" style="22" customWidth="1"/>
    <col min="757" max="757" width="15.7109375" style="22" customWidth="1"/>
    <col min="758" max="758" width="17.42578125" style="22" customWidth="1"/>
    <col min="759" max="759" width="10.7109375" style="22" customWidth="1"/>
    <col min="760" max="760" width="13" style="22" customWidth="1"/>
    <col min="761" max="761" width="16.7109375" style="22" customWidth="1"/>
    <col min="762" max="1002" width="9.140625" style="22"/>
    <col min="1003" max="1003" width="35.5703125" style="22" customWidth="1"/>
    <col min="1004" max="1004" width="23" style="22" customWidth="1"/>
    <col min="1005" max="1005" width="17.7109375" style="22" customWidth="1"/>
    <col min="1006" max="1006" width="18.42578125" style="22" customWidth="1"/>
    <col min="1007" max="1008" width="13.140625" style="22" customWidth="1"/>
    <col min="1009" max="1009" width="10.7109375" style="22" customWidth="1"/>
    <col min="1010" max="1010" width="40.85546875" style="22" customWidth="1"/>
    <col min="1011" max="1011" width="34.140625" style="22" customWidth="1"/>
    <col min="1012" max="1012" width="16" style="22" customWidth="1"/>
    <col min="1013" max="1013" width="15.7109375" style="22" customWidth="1"/>
    <col min="1014" max="1014" width="17.42578125" style="22" customWidth="1"/>
    <col min="1015" max="1015" width="10.7109375" style="22" customWidth="1"/>
    <col min="1016" max="1016" width="13" style="22" customWidth="1"/>
    <col min="1017" max="1017" width="16.7109375" style="22" customWidth="1"/>
    <col min="1018" max="1258" width="9.140625" style="22"/>
    <col min="1259" max="1259" width="35.5703125" style="22" customWidth="1"/>
    <col min="1260" max="1260" width="23" style="22" customWidth="1"/>
    <col min="1261" max="1261" width="17.7109375" style="22" customWidth="1"/>
    <col min="1262" max="1262" width="18.42578125" style="22" customWidth="1"/>
    <col min="1263" max="1264" width="13.140625" style="22" customWidth="1"/>
    <col min="1265" max="1265" width="10.7109375" style="22" customWidth="1"/>
    <col min="1266" max="1266" width="40.85546875" style="22" customWidth="1"/>
    <col min="1267" max="1267" width="34.140625" style="22" customWidth="1"/>
    <col min="1268" max="1268" width="16" style="22" customWidth="1"/>
    <col min="1269" max="1269" width="15.7109375" style="22" customWidth="1"/>
    <col min="1270" max="1270" width="17.42578125" style="22" customWidth="1"/>
    <col min="1271" max="1271" width="10.7109375" style="22" customWidth="1"/>
    <col min="1272" max="1272" width="13" style="22" customWidth="1"/>
    <col min="1273" max="1273" width="16.7109375" style="22" customWidth="1"/>
    <col min="1274" max="1514" width="9.140625" style="22"/>
    <col min="1515" max="1515" width="35.5703125" style="22" customWidth="1"/>
    <col min="1516" max="1516" width="23" style="22" customWidth="1"/>
    <col min="1517" max="1517" width="17.7109375" style="22" customWidth="1"/>
    <col min="1518" max="1518" width="18.42578125" style="22" customWidth="1"/>
    <col min="1519" max="1520" width="13.140625" style="22" customWidth="1"/>
    <col min="1521" max="1521" width="10.7109375" style="22" customWidth="1"/>
    <col min="1522" max="1522" width="40.85546875" style="22" customWidth="1"/>
    <col min="1523" max="1523" width="34.140625" style="22" customWidth="1"/>
    <col min="1524" max="1524" width="16" style="22" customWidth="1"/>
    <col min="1525" max="1525" width="15.7109375" style="22" customWidth="1"/>
    <col min="1526" max="1526" width="17.42578125" style="22" customWidth="1"/>
    <col min="1527" max="1527" width="10.7109375" style="22" customWidth="1"/>
    <col min="1528" max="1528" width="13" style="22" customWidth="1"/>
    <col min="1529" max="1529" width="16.7109375" style="22" customWidth="1"/>
    <col min="1530" max="1770" width="9.140625" style="22"/>
    <col min="1771" max="1771" width="35.5703125" style="22" customWidth="1"/>
    <col min="1772" max="1772" width="23" style="22" customWidth="1"/>
    <col min="1773" max="1773" width="17.7109375" style="22" customWidth="1"/>
    <col min="1774" max="1774" width="18.42578125" style="22" customWidth="1"/>
    <col min="1775" max="1776" width="13.140625" style="22" customWidth="1"/>
    <col min="1777" max="1777" width="10.7109375" style="22" customWidth="1"/>
    <col min="1778" max="1778" width="40.85546875" style="22" customWidth="1"/>
    <col min="1779" max="1779" width="34.140625" style="22" customWidth="1"/>
    <col min="1780" max="1780" width="16" style="22" customWidth="1"/>
    <col min="1781" max="1781" width="15.7109375" style="22" customWidth="1"/>
    <col min="1782" max="1782" width="17.42578125" style="22" customWidth="1"/>
    <col min="1783" max="1783" width="10.7109375" style="22" customWidth="1"/>
    <col min="1784" max="1784" width="13" style="22" customWidth="1"/>
    <col min="1785" max="1785" width="16.7109375" style="22" customWidth="1"/>
    <col min="1786" max="2026" width="9.140625" style="22"/>
    <col min="2027" max="2027" width="35.5703125" style="22" customWidth="1"/>
    <col min="2028" max="2028" width="23" style="22" customWidth="1"/>
    <col min="2029" max="2029" width="17.7109375" style="22" customWidth="1"/>
    <col min="2030" max="2030" width="18.42578125" style="22" customWidth="1"/>
    <col min="2031" max="2032" width="13.140625" style="22" customWidth="1"/>
    <col min="2033" max="2033" width="10.7109375" style="22" customWidth="1"/>
    <col min="2034" max="2034" width="40.85546875" style="22" customWidth="1"/>
    <col min="2035" max="2035" width="34.140625" style="22" customWidth="1"/>
    <col min="2036" max="2036" width="16" style="22" customWidth="1"/>
    <col min="2037" max="2037" width="15.7109375" style="22" customWidth="1"/>
    <col min="2038" max="2038" width="17.42578125" style="22" customWidth="1"/>
    <col min="2039" max="2039" width="10.7109375" style="22" customWidth="1"/>
    <col min="2040" max="2040" width="13" style="22" customWidth="1"/>
    <col min="2041" max="2041" width="16.7109375" style="22" customWidth="1"/>
    <col min="2042" max="2282" width="9.140625" style="22"/>
    <col min="2283" max="2283" width="35.5703125" style="22" customWidth="1"/>
    <col min="2284" max="2284" width="23" style="22" customWidth="1"/>
    <col min="2285" max="2285" width="17.7109375" style="22" customWidth="1"/>
    <col min="2286" max="2286" width="18.42578125" style="22" customWidth="1"/>
    <col min="2287" max="2288" width="13.140625" style="22" customWidth="1"/>
    <col min="2289" max="2289" width="10.7109375" style="22" customWidth="1"/>
    <col min="2290" max="2290" width="40.85546875" style="22" customWidth="1"/>
    <col min="2291" max="2291" width="34.140625" style="22" customWidth="1"/>
    <col min="2292" max="2292" width="16" style="22" customWidth="1"/>
    <col min="2293" max="2293" width="15.7109375" style="22" customWidth="1"/>
    <col min="2294" max="2294" width="17.42578125" style="22" customWidth="1"/>
    <col min="2295" max="2295" width="10.7109375" style="22" customWidth="1"/>
    <col min="2296" max="2296" width="13" style="22" customWidth="1"/>
    <col min="2297" max="2297" width="16.7109375" style="22" customWidth="1"/>
    <col min="2298" max="2538" width="9.140625" style="22"/>
    <col min="2539" max="2539" width="35.5703125" style="22" customWidth="1"/>
    <col min="2540" max="2540" width="23" style="22" customWidth="1"/>
    <col min="2541" max="2541" width="17.7109375" style="22" customWidth="1"/>
    <col min="2542" max="2542" width="18.42578125" style="22" customWidth="1"/>
    <col min="2543" max="2544" width="13.140625" style="22" customWidth="1"/>
    <col min="2545" max="2545" width="10.7109375" style="22" customWidth="1"/>
    <col min="2546" max="2546" width="40.85546875" style="22" customWidth="1"/>
    <col min="2547" max="2547" width="34.140625" style="22" customWidth="1"/>
    <col min="2548" max="2548" width="16" style="22" customWidth="1"/>
    <col min="2549" max="2549" width="15.7109375" style="22" customWidth="1"/>
    <col min="2550" max="2550" width="17.42578125" style="22" customWidth="1"/>
    <col min="2551" max="2551" width="10.7109375" style="22" customWidth="1"/>
    <col min="2552" max="2552" width="13" style="22" customWidth="1"/>
    <col min="2553" max="2553" width="16.7109375" style="22" customWidth="1"/>
    <col min="2554" max="2794" width="9.140625" style="22"/>
    <col min="2795" max="2795" width="35.5703125" style="22" customWidth="1"/>
    <col min="2796" max="2796" width="23" style="22" customWidth="1"/>
    <col min="2797" max="2797" width="17.7109375" style="22" customWidth="1"/>
    <col min="2798" max="2798" width="18.42578125" style="22" customWidth="1"/>
    <col min="2799" max="2800" width="13.140625" style="22" customWidth="1"/>
    <col min="2801" max="2801" width="10.7109375" style="22" customWidth="1"/>
    <col min="2802" max="2802" width="40.85546875" style="22" customWidth="1"/>
    <col min="2803" max="2803" width="34.140625" style="22" customWidth="1"/>
    <col min="2804" max="2804" width="16" style="22" customWidth="1"/>
    <col min="2805" max="2805" width="15.7109375" style="22" customWidth="1"/>
    <col min="2806" max="2806" width="17.42578125" style="22" customWidth="1"/>
    <col min="2807" max="2807" width="10.7109375" style="22" customWidth="1"/>
    <col min="2808" max="2808" width="13" style="22" customWidth="1"/>
    <col min="2809" max="2809" width="16.7109375" style="22" customWidth="1"/>
    <col min="2810" max="3050" width="9.140625" style="22"/>
    <col min="3051" max="3051" width="35.5703125" style="22" customWidth="1"/>
    <col min="3052" max="3052" width="23" style="22" customWidth="1"/>
    <col min="3053" max="3053" width="17.7109375" style="22" customWidth="1"/>
    <col min="3054" max="3054" width="18.42578125" style="22" customWidth="1"/>
    <col min="3055" max="3056" width="13.140625" style="22" customWidth="1"/>
    <col min="3057" max="3057" width="10.7109375" style="22" customWidth="1"/>
    <col min="3058" max="3058" width="40.85546875" style="22" customWidth="1"/>
    <col min="3059" max="3059" width="34.140625" style="22" customWidth="1"/>
    <col min="3060" max="3060" width="16" style="22" customWidth="1"/>
    <col min="3061" max="3061" width="15.7109375" style="22" customWidth="1"/>
    <col min="3062" max="3062" width="17.42578125" style="22" customWidth="1"/>
    <col min="3063" max="3063" width="10.7109375" style="22" customWidth="1"/>
    <col min="3064" max="3064" width="13" style="22" customWidth="1"/>
    <col min="3065" max="3065" width="16.7109375" style="22" customWidth="1"/>
    <col min="3066" max="3306" width="9.140625" style="22"/>
    <col min="3307" max="3307" width="35.5703125" style="22" customWidth="1"/>
    <col min="3308" max="3308" width="23" style="22" customWidth="1"/>
    <col min="3309" max="3309" width="17.7109375" style="22" customWidth="1"/>
    <col min="3310" max="3310" width="18.42578125" style="22" customWidth="1"/>
    <col min="3311" max="3312" width="13.140625" style="22" customWidth="1"/>
    <col min="3313" max="3313" width="10.7109375" style="22" customWidth="1"/>
    <col min="3314" max="3314" width="40.85546875" style="22" customWidth="1"/>
    <col min="3315" max="3315" width="34.140625" style="22" customWidth="1"/>
    <col min="3316" max="3316" width="16" style="22" customWidth="1"/>
    <col min="3317" max="3317" width="15.7109375" style="22" customWidth="1"/>
    <col min="3318" max="3318" width="17.42578125" style="22" customWidth="1"/>
    <col min="3319" max="3319" width="10.7109375" style="22" customWidth="1"/>
    <col min="3320" max="3320" width="13" style="22" customWidth="1"/>
    <col min="3321" max="3321" width="16.7109375" style="22" customWidth="1"/>
    <col min="3322" max="3562" width="9.140625" style="22"/>
    <col min="3563" max="3563" width="35.5703125" style="22" customWidth="1"/>
    <col min="3564" max="3564" width="23" style="22" customWidth="1"/>
    <col min="3565" max="3565" width="17.7109375" style="22" customWidth="1"/>
    <col min="3566" max="3566" width="18.42578125" style="22" customWidth="1"/>
    <col min="3567" max="3568" width="13.140625" style="22" customWidth="1"/>
    <col min="3569" max="3569" width="10.7109375" style="22" customWidth="1"/>
    <col min="3570" max="3570" width="40.85546875" style="22" customWidth="1"/>
    <col min="3571" max="3571" width="34.140625" style="22" customWidth="1"/>
    <col min="3572" max="3572" width="16" style="22" customWidth="1"/>
    <col min="3573" max="3573" width="15.7109375" style="22" customWidth="1"/>
    <col min="3574" max="3574" width="17.42578125" style="22" customWidth="1"/>
    <col min="3575" max="3575" width="10.7109375" style="22" customWidth="1"/>
    <col min="3576" max="3576" width="13" style="22" customWidth="1"/>
    <col min="3577" max="3577" width="16.7109375" style="22" customWidth="1"/>
    <col min="3578" max="3818" width="9.140625" style="22"/>
    <col min="3819" max="3819" width="35.5703125" style="22" customWidth="1"/>
    <col min="3820" max="3820" width="23" style="22" customWidth="1"/>
    <col min="3821" max="3821" width="17.7109375" style="22" customWidth="1"/>
    <col min="3822" max="3822" width="18.42578125" style="22" customWidth="1"/>
    <col min="3823" max="3824" width="13.140625" style="22" customWidth="1"/>
    <col min="3825" max="3825" width="10.7109375" style="22" customWidth="1"/>
    <col min="3826" max="3826" width="40.85546875" style="22" customWidth="1"/>
    <col min="3827" max="3827" width="34.140625" style="22" customWidth="1"/>
    <col min="3828" max="3828" width="16" style="22" customWidth="1"/>
    <col min="3829" max="3829" width="15.7109375" style="22" customWidth="1"/>
    <col min="3830" max="3830" width="17.42578125" style="22" customWidth="1"/>
    <col min="3831" max="3831" width="10.7109375" style="22" customWidth="1"/>
    <col min="3832" max="3832" width="13" style="22" customWidth="1"/>
    <col min="3833" max="3833" width="16.7109375" style="22" customWidth="1"/>
    <col min="3834" max="4074" width="9.140625" style="22"/>
    <col min="4075" max="4075" width="35.5703125" style="22" customWidth="1"/>
    <col min="4076" max="4076" width="23" style="22" customWidth="1"/>
    <col min="4077" max="4077" width="17.7109375" style="22" customWidth="1"/>
    <col min="4078" max="4078" width="18.42578125" style="22" customWidth="1"/>
    <col min="4079" max="4080" width="13.140625" style="22" customWidth="1"/>
    <col min="4081" max="4081" width="10.7109375" style="22" customWidth="1"/>
    <col min="4082" max="4082" width="40.85546875" style="22" customWidth="1"/>
    <col min="4083" max="4083" width="34.140625" style="22" customWidth="1"/>
    <col min="4084" max="4084" width="16" style="22" customWidth="1"/>
    <col min="4085" max="4085" width="15.7109375" style="22" customWidth="1"/>
    <col min="4086" max="4086" width="17.42578125" style="22" customWidth="1"/>
    <col min="4087" max="4087" width="10.7109375" style="22" customWidth="1"/>
    <col min="4088" max="4088" width="13" style="22" customWidth="1"/>
    <col min="4089" max="4089" width="16.7109375" style="22" customWidth="1"/>
    <col min="4090" max="4330" width="9.140625" style="22"/>
    <col min="4331" max="4331" width="35.5703125" style="22" customWidth="1"/>
    <col min="4332" max="4332" width="23" style="22" customWidth="1"/>
    <col min="4333" max="4333" width="17.7109375" style="22" customWidth="1"/>
    <col min="4334" max="4334" width="18.42578125" style="22" customWidth="1"/>
    <col min="4335" max="4336" width="13.140625" style="22" customWidth="1"/>
    <col min="4337" max="4337" width="10.7109375" style="22" customWidth="1"/>
    <col min="4338" max="4338" width="40.85546875" style="22" customWidth="1"/>
    <col min="4339" max="4339" width="34.140625" style="22" customWidth="1"/>
    <col min="4340" max="4340" width="16" style="22" customWidth="1"/>
    <col min="4341" max="4341" width="15.7109375" style="22" customWidth="1"/>
    <col min="4342" max="4342" width="17.42578125" style="22" customWidth="1"/>
    <col min="4343" max="4343" width="10.7109375" style="22" customWidth="1"/>
    <col min="4344" max="4344" width="13" style="22" customWidth="1"/>
    <col min="4345" max="4345" width="16.7109375" style="22" customWidth="1"/>
    <col min="4346" max="4586" width="9.140625" style="22"/>
    <col min="4587" max="4587" width="35.5703125" style="22" customWidth="1"/>
    <col min="4588" max="4588" width="23" style="22" customWidth="1"/>
    <col min="4589" max="4589" width="17.7109375" style="22" customWidth="1"/>
    <col min="4590" max="4590" width="18.42578125" style="22" customWidth="1"/>
    <col min="4591" max="4592" width="13.140625" style="22" customWidth="1"/>
    <col min="4593" max="4593" width="10.7109375" style="22" customWidth="1"/>
    <col min="4594" max="4594" width="40.85546875" style="22" customWidth="1"/>
    <col min="4595" max="4595" width="34.140625" style="22" customWidth="1"/>
    <col min="4596" max="4596" width="16" style="22" customWidth="1"/>
    <col min="4597" max="4597" width="15.7109375" style="22" customWidth="1"/>
    <col min="4598" max="4598" width="17.42578125" style="22" customWidth="1"/>
    <col min="4599" max="4599" width="10.7109375" style="22" customWidth="1"/>
    <col min="4600" max="4600" width="13" style="22" customWidth="1"/>
    <col min="4601" max="4601" width="16.7109375" style="22" customWidth="1"/>
    <col min="4602" max="4842" width="9.140625" style="22"/>
    <col min="4843" max="4843" width="35.5703125" style="22" customWidth="1"/>
    <col min="4844" max="4844" width="23" style="22" customWidth="1"/>
    <col min="4845" max="4845" width="17.7109375" style="22" customWidth="1"/>
    <col min="4846" max="4846" width="18.42578125" style="22" customWidth="1"/>
    <col min="4847" max="4848" width="13.140625" style="22" customWidth="1"/>
    <col min="4849" max="4849" width="10.7109375" style="22" customWidth="1"/>
    <col min="4850" max="4850" width="40.85546875" style="22" customWidth="1"/>
    <col min="4851" max="4851" width="34.140625" style="22" customWidth="1"/>
    <col min="4852" max="4852" width="16" style="22" customWidth="1"/>
    <col min="4853" max="4853" width="15.7109375" style="22" customWidth="1"/>
    <col min="4854" max="4854" width="17.42578125" style="22" customWidth="1"/>
    <col min="4855" max="4855" width="10.7109375" style="22" customWidth="1"/>
    <col min="4856" max="4856" width="13" style="22" customWidth="1"/>
    <col min="4857" max="4857" width="16.7109375" style="22" customWidth="1"/>
    <col min="4858" max="5098" width="9.140625" style="22"/>
    <col min="5099" max="5099" width="35.5703125" style="22" customWidth="1"/>
    <col min="5100" max="5100" width="23" style="22" customWidth="1"/>
    <col min="5101" max="5101" width="17.7109375" style="22" customWidth="1"/>
    <col min="5102" max="5102" width="18.42578125" style="22" customWidth="1"/>
    <col min="5103" max="5104" width="13.140625" style="22" customWidth="1"/>
    <col min="5105" max="5105" width="10.7109375" style="22" customWidth="1"/>
    <col min="5106" max="5106" width="40.85546875" style="22" customWidth="1"/>
    <col min="5107" max="5107" width="34.140625" style="22" customWidth="1"/>
    <col min="5108" max="5108" width="16" style="22" customWidth="1"/>
    <col min="5109" max="5109" width="15.7109375" style="22" customWidth="1"/>
    <col min="5110" max="5110" width="17.42578125" style="22" customWidth="1"/>
    <col min="5111" max="5111" width="10.7109375" style="22" customWidth="1"/>
    <col min="5112" max="5112" width="13" style="22" customWidth="1"/>
    <col min="5113" max="5113" width="16.7109375" style="22" customWidth="1"/>
    <col min="5114" max="5354" width="9.140625" style="22"/>
    <col min="5355" max="5355" width="35.5703125" style="22" customWidth="1"/>
    <col min="5356" max="5356" width="23" style="22" customWidth="1"/>
    <col min="5357" max="5357" width="17.7109375" style="22" customWidth="1"/>
    <col min="5358" max="5358" width="18.42578125" style="22" customWidth="1"/>
    <col min="5359" max="5360" width="13.140625" style="22" customWidth="1"/>
    <col min="5361" max="5361" width="10.7109375" style="22" customWidth="1"/>
    <col min="5362" max="5362" width="40.85546875" style="22" customWidth="1"/>
    <col min="5363" max="5363" width="34.140625" style="22" customWidth="1"/>
    <col min="5364" max="5364" width="16" style="22" customWidth="1"/>
    <col min="5365" max="5365" width="15.7109375" style="22" customWidth="1"/>
    <col min="5366" max="5366" width="17.42578125" style="22" customWidth="1"/>
    <col min="5367" max="5367" width="10.7109375" style="22" customWidth="1"/>
    <col min="5368" max="5368" width="13" style="22" customWidth="1"/>
    <col min="5369" max="5369" width="16.7109375" style="22" customWidth="1"/>
    <col min="5370" max="5610" width="9.140625" style="22"/>
    <col min="5611" max="5611" width="35.5703125" style="22" customWidth="1"/>
    <col min="5612" max="5612" width="23" style="22" customWidth="1"/>
    <col min="5613" max="5613" width="17.7109375" style="22" customWidth="1"/>
    <col min="5614" max="5614" width="18.42578125" style="22" customWidth="1"/>
    <col min="5615" max="5616" width="13.140625" style="22" customWidth="1"/>
    <col min="5617" max="5617" width="10.7109375" style="22" customWidth="1"/>
    <col min="5618" max="5618" width="40.85546875" style="22" customWidth="1"/>
    <col min="5619" max="5619" width="34.140625" style="22" customWidth="1"/>
    <col min="5620" max="5620" width="16" style="22" customWidth="1"/>
    <col min="5621" max="5621" width="15.7109375" style="22" customWidth="1"/>
    <col min="5622" max="5622" width="17.42578125" style="22" customWidth="1"/>
    <col min="5623" max="5623" width="10.7109375" style="22" customWidth="1"/>
    <col min="5624" max="5624" width="13" style="22" customWidth="1"/>
    <col min="5625" max="5625" width="16.7109375" style="22" customWidth="1"/>
    <col min="5626" max="5866" width="9.140625" style="22"/>
    <col min="5867" max="5867" width="35.5703125" style="22" customWidth="1"/>
    <col min="5868" max="5868" width="23" style="22" customWidth="1"/>
    <col min="5869" max="5869" width="17.7109375" style="22" customWidth="1"/>
    <col min="5870" max="5870" width="18.42578125" style="22" customWidth="1"/>
    <col min="5871" max="5872" width="13.140625" style="22" customWidth="1"/>
    <col min="5873" max="5873" width="10.7109375" style="22" customWidth="1"/>
    <col min="5874" max="5874" width="40.85546875" style="22" customWidth="1"/>
    <col min="5875" max="5875" width="34.140625" style="22" customWidth="1"/>
    <col min="5876" max="5876" width="16" style="22" customWidth="1"/>
    <col min="5877" max="5877" width="15.7109375" style="22" customWidth="1"/>
    <col min="5878" max="5878" width="17.42578125" style="22" customWidth="1"/>
    <col min="5879" max="5879" width="10.7109375" style="22" customWidth="1"/>
    <col min="5880" max="5880" width="13" style="22" customWidth="1"/>
    <col min="5881" max="5881" width="16.7109375" style="22" customWidth="1"/>
    <col min="5882" max="6122" width="9.140625" style="22"/>
    <col min="6123" max="6123" width="35.5703125" style="22" customWidth="1"/>
    <col min="6124" max="6124" width="23" style="22" customWidth="1"/>
    <col min="6125" max="6125" width="17.7109375" style="22" customWidth="1"/>
    <col min="6126" max="6126" width="18.42578125" style="22" customWidth="1"/>
    <col min="6127" max="6128" width="13.140625" style="22" customWidth="1"/>
    <col min="6129" max="6129" width="10.7109375" style="22" customWidth="1"/>
    <col min="6130" max="6130" width="40.85546875" style="22" customWidth="1"/>
    <col min="6131" max="6131" width="34.140625" style="22" customWidth="1"/>
    <col min="6132" max="6132" width="16" style="22" customWidth="1"/>
    <col min="6133" max="6133" width="15.7109375" style="22" customWidth="1"/>
    <col min="6134" max="6134" width="17.42578125" style="22" customWidth="1"/>
    <col min="6135" max="6135" width="10.7109375" style="22" customWidth="1"/>
    <col min="6136" max="6136" width="13" style="22" customWidth="1"/>
    <col min="6137" max="6137" width="16.7109375" style="22" customWidth="1"/>
    <col min="6138" max="6378" width="9.140625" style="22"/>
    <col min="6379" max="6379" width="35.5703125" style="22" customWidth="1"/>
    <col min="6380" max="6380" width="23" style="22" customWidth="1"/>
    <col min="6381" max="6381" width="17.7109375" style="22" customWidth="1"/>
    <col min="6382" max="6382" width="18.42578125" style="22" customWidth="1"/>
    <col min="6383" max="6384" width="13.140625" style="22" customWidth="1"/>
    <col min="6385" max="6385" width="10.7109375" style="22" customWidth="1"/>
    <col min="6386" max="6386" width="40.85546875" style="22" customWidth="1"/>
    <col min="6387" max="6387" width="34.140625" style="22" customWidth="1"/>
    <col min="6388" max="6388" width="16" style="22" customWidth="1"/>
    <col min="6389" max="6389" width="15.7109375" style="22" customWidth="1"/>
    <col min="6390" max="6390" width="17.42578125" style="22" customWidth="1"/>
    <col min="6391" max="6391" width="10.7109375" style="22" customWidth="1"/>
    <col min="6392" max="6392" width="13" style="22" customWidth="1"/>
    <col min="6393" max="6393" width="16.7109375" style="22" customWidth="1"/>
    <col min="6394" max="6634" width="9.140625" style="22"/>
    <col min="6635" max="6635" width="35.5703125" style="22" customWidth="1"/>
    <col min="6636" max="6636" width="23" style="22" customWidth="1"/>
    <col min="6637" max="6637" width="17.7109375" style="22" customWidth="1"/>
    <col min="6638" max="6638" width="18.42578125" style="22" customWidth="1"/>
    <col min="6639" max="6640" width="13.140625" style="22" customWidth="1"/>
    <col min="6641" max="6641" width="10.7109375" style="22" customWidth="1"/>
    <col min="6642" max="6642" width="40.85546875" style="22" customWidth="1"/>
    <col min="6643" max="6643" width="34.140625" style="22" customWidth="1"/>
    <col min="6644" max="6644" width="16" style="22" customWidth="1"/>
    <col min="6645" max="6645" width="15.7109375" style="22" customWidth="1"/>
    <col min="6646" max="6646" width="17.42578125" style="22" customWidth="1"/>
    <col min="6647" max="6647" width="10.7109375" style="22" customWidth="1"/>
    <col min="6648" max="6648" width="13" style="22" customWidth="1"/>
    <col min="6649" max="6649" width="16.7109375" style="22" customWidth="1"/>
    <col min="6650" max="6890" width="9.140625" style="22"/>
    <col min="6891" max="6891" width="35.5703125" style="22" customWidth="1"/>
    <col min="6892" max="6892" width="23" style="22" customWidth="1"/>
    <col min="6893" max="6893" width="17.7109375" style="22" customWidth="1"/>
    <col min="6894" max="6894" width="18.42578125" style="22" customWidth="1"/>
    <col min="6895" max="6896" width="13.140625" style="22" customWidth="1"/>
    <col min="6897" max="6897" width="10.7109375" style="22" customWidth="1"/>
    <col min="6898" max="6898" width="40.85546875" style="22" customWidth="1"/>
    <col min="6899" max="6899" width="34.140625" style="22" customWidth="1"/>
    <col min="6900" max="6900" width="16" style="22" customWidth="1"/>
    <col min="6901" max="6901" width="15.7109375" style="22" customWidth="1"/>
    <col min="6902" max="6902" width="17.42578125" style="22" customWidth="1"/>
    <col min="6903" max="6903" width="10.7109375" style="22" customWidth="1"/>
    <col min="6904" max="6904" width="13" style="22" customWidth="1"/>
    <col min="6905" max="6905" width="16.7109375" style="22" customWidth="1"/>
    <col min="6906" max="7146" width="9.140625" style="22"/>
    <col min="7147" max="7147" width="35.5703125" style="22" customWidth="1"/>
    <col min="7148" max="7148" width="23" style="22" customWidth="1"/>
    <col min="7149" max="7149" width="17.7109375" style="22" customWidth="1"/>
    <col min="7150" max="7150" width="18.42578125" style="22" customWidth="1"/>
    <col min="7151" max="7152" width="13.140625" style="22" customWidth="1"/>
    <col min="7153" max="7153" width="10.7109375" style="22" customWidth="1"/>
    <col min="7154" max="7154" width="40.85546875" style="22" customWidth="1"/>
    <col min="7155" max="7155" width="34.140625" style="22" customWidth="1"/>
    <col min="7156" max="7156" width="16" style="22" customWidth="1"/>
    <col min="7157" max="7157" width="15.7109375" style="22" customWidth="1"/>
    <col min="7158" max="7158" width="17.42578125" style="22" customWidth="1"/>
    <col min="7159" max="7159" width="10.7109375" style="22" customWidth="1"/>
    <col min="7160" max="7160" width="13" style="22" customWidth="1"/>
    <col min="7161" max="7161" width="16.7109375" style="22" customWidth="1"/>
    <col min="7162" max="7402" width="9.140625" style="22"/>
    <col min="7403" max="7403" width="35.5703125" style="22" customWidth="1"/>
    <col min="7404" max="7404" width="23" style="22" customWidth="1"/>
    <col min="7405" max="7405" width="17.7109375" style="22" customWidth="1"/>
    <col min="7406" max="7406" width="18.42578125" style="22" customWidth="1"/>
    <col min="7407" max="7408" width="13.140625" style="22" customWidth="1"/>
    <col min="7409" max="7409" width="10.7109375" style="22" customWidth="1"/>
    <col min="7410" max="7410" width="40.85546875" style="22" customWidth="1"/>
    <col min="7411" max="7411" width="34.140625" style="22" customWidth="1"/>
    <col min="7412" max="7412" width="16" style="22" customWidth="1"/>
    <col min="7413" max="7413" width="15.7109375" style="22" customWidth="1"/>
    <col min="7414" max="7414" width="17.42578125" style="22" customWidth="1"/>
    <col min="7415" max="7415" width="10.7109375" style="22" customWidth="1"/>
    <col min="7416" max="7416" width="13" style="22" customWidth="1"/>
    <col min="7417" max="7417" width="16.7109375" style="22" customWidth="1"/>
    <col min="7418" max="7658" width="9.140625" style="22"/>
    <col min="7659" max="7659" width="35.5703125" style="22" customWidth="1"/>
    <col min="7660" max="7660" width="23" style="22" customWidth="1"/>
    <col min="7661" max="7661" width="17.7109375" style="22" customWidth="1"/>
    <col min="7662" max="7662" width="18.42578125" style="22" customWidth="1"/>
    <col min="7663" max="7664" width="13.140625" style="22" customWidth="1"/>
    <col min="7665" max="7665" width="10.7109375" style="22" customWidth="1"/>
    <col min="7666" max="7666" width="40.85546875" style="22" customWidth="1"/>
    <col min="7667" max="7667" width="34.140625" style="22" customWidth="1"/>
    <col min="7668" max="7668" width="16" style="22" customWidth="1"/>
    <col min="7669" max="7669" width="15.7109375" style="22" customWidth="1"/>
    <col min="7670" max="7670" width="17.42578125" style="22" customWidth="1"/>
    <col min="7671" max="7671" width="10.7109375" style="22" customWidth="1"/>
    <col min="7672" max="7672" width="13" style="22" customWidth="1"/>
    <col min="7673" max="7673" width="16.7109375" style="22" customWidth="1"/>
    <col min="7674" max="7914" width="9.140625" style="22"/>
    <col min="7915" max="7915" width="35.5703125" style="22" customWidth="1"/>
    <col min="7916" max="7916" width="23" style="22" customWidth="1"/>
    <col min="7917" max="7917" width="17.7109375" style="22" customWidth="1"/>
    <col min="7918" max="7918" width="18.42578125" style="22" customWidth="1"/>
    <col min="7919" max="7920" width="13.140625" style="22" customWidth="1"/>
    <col min="7921" max="7921" width="10.7109375" style="22" customWidth="1"/>
    <col min="7922" max="7922" width="40.85546875" style="22" customWidth="1"/>
    <col min="7923" max="7923" width="34.140625" style="22" customWidth="1"/>
    <col min="7924" max="7924" width="16" style="22" customWidth="1"/>
    <col min="7925" max="7925" width="15.7109375" style="22" customWidth="1"/>
    <col min="7926" max="7926" width="17.42578125" style="22" customWidth="1"/>
    <col min="7927" max="7927" width="10.7109375" style="22" customWidth="1"/>
    <col min="7928" max="7928" width="13" style="22" customWidth="1"/>
    <col min="7929" max="7929" width="16.7109375" style="22" customWidth="1"/>
    <col min="7930" max="8170" width="9.140625" style="22"/>
    <col min="8171" max="8171" width="35.5703125" style="22" customWidth="1"/>
    <col min="8172" max="8172" width="23" style="22" customWidth="1"/>
    <col min="8173" max="8173" width="17.7109375" style="22" customWidth="1"/>
    <col min="8174" max="8174" width="18.42578125" style="22" customWidth="1"/>
    <col min="8175" max="8176" width="13.140625" style="22" customWidth="1"/>
    <col min="8177" max="8177" width="10.7109375" style="22" customWidth="1"/>
    <col min="8178" max="8178" width="40.85546875" style="22" customWidth="1"/>
    <col min="8179" max="8179" width="34.140625" style="22" customWidth="1"/>
    <col min="8180" max="8180" width="16" style="22" customWidth="1"/>
    <col min="8181" max="8181" width="15.7109375" style="22" customWidth="1"/>
    <col min="8182" max="8182" width="17.42578125" style="22" customWidth="1"/>
    <col min="8183" max="8183" width="10.7109375" style="22" customWidth="1"/>
    <col min="8184" max="8184" width="13" style="22" customWidth="1"/>
    <col min="8185" max="8185" width="16.7109375" style="22" customWidth="1"/>
    <col min="8186" max="8426" width="9.140625" style="22"/>
    <col min="8427" max="8427" width="35.5703125" style="22" customWidth="1"/>
    <col min="8428" max="8428" width="23" style="22" customWidth="1"/>
    <col min="8429" max="8429" width="17.7109375" style="22" customWidth="1"/>
    <col min="8430" max="8430" width="18.42578125" style="22" customWidth="1"/>
    <col min="8431" max="8432" width="13.140625" style="22" customWidth="1"/>
    <col min="8433" max="8433" width="10.7109375" style="22" customWidth="1"/>
    <col min="8434" max="8434" width="40.85546875" style="22" customWidth="1"/>
    <col min="8435" max="8435" width="34.140625" style="22" customWidth="1"/>
    <col min="8436" max="8436" width="16" style="22" customWidth="1"/>
    <col min="8437" max="8437" width="15.7109375" style="22" customWidth="1"/>
    <col min="8438" max="8438" width="17.42578125" style="22" customWidth="1"/>
    <col min="8439" max="8439" width="10.7109375" style="22" customWidth="1"/>
    <col min="8440" max="8440" width="13" style="22" customWidth="1"/>
    <col min="8441" max="8441" width="16.7109375" style="22" customWidth="1"/>
    <col min="8442" max="8682" width="9.140625" style="22"/>
    <col min="8683" max="8683" width="35.5703125" style="22" customWidth="1"/>
    <col min="8684" max="8684" width="23" style="22" customWidth="1"/>
    <col min="8685" max="8685" width="17.7109375" style="22" customWidth="1"/>
    <col min="8686" max="8686" width="18.42578125" style="22" customWidth="1"/>
    <col min="8687" max="8688" width="13.140625" style="22" customWidth="1"/>
    <col min="8689" max="8689" width="10.7109375" style="22" customWidth="1"/>
    <col min="8690" max="8690" width="40.85546875" style="22" customWidth="1"/>
    <col min="8691" max="8691" width="34.140625" style="22" customWidth="1"/>
    <col min="8692" max="8692" width="16" style="22" customWidth="1"/>
    <col min="8693" max="8693" width="15.7109375" style="22" customWidth="1"/>
    <col min="8694" max="8694" width="17.42578125" style="22" customWidth="1"/>
    <col min="8695" max="8695" width="10.7109375" style="22" customWidth="1"/>
    <col min="8696" max="8696" width="13" style="22" customWidth="1"/>
    <col min="8697" max="8697" width="16.7109375" style="22" customWidth="1"/>
    <col min="8698" max="8938" width="9.140625" style="22"/>
    <col min="8939" max="8939" width="35.5703125" style="22" customWidth="1"/>
    <col min="8940" max="8940" width="23" style="22" customWidth="1"/>
    <col min="8941" max="8941" width="17.7109375" style="22" customWidth="1"/>
    <col min="8942" max="8942" width="18.42578125" style="22" customWidth="1"/>
    <col min="8943" max="8944" width="13.140625" style="22" customWidth="1"/>
    <col min="8945" max="8945" width="10.7109375" style="22" customWidth="1"/>
    <col min="8946" max="8946" width="40.85546875" style="22" customWidth="1"/>
    <col min="8947" max="8947" width="34.140625" style="22" customWidth="1"/>
    <col min="8948" max="8948" width="16" style="22" customWidth="1"/>
    <col min="8949" max="8949" width="15.7109375" style="22" customWidth="1"/>
    <col min="8950" max="8950" width="17.42578125" style="22" customWidth="1"/>
    <col min="8951" max="8951" width="10.7109375" style="22" customWidth="1"/>
    <col min="8952" max="8952" width="13" style="22" customWidth="1"/>
    <col min="8953" max="8953" width="16.7109375" style="22" customWidth="1"/>
    <col min="8954" max="9194" width="9.140625" style="22"/>
    <col min="9195" max="9195" width="35.5703125" style="22" customWidth="1"/>
    <col min="9196" max="9196" width="23" style="22" customWidth="1"/>
    <col min="9197" max="9197" width="17.7109375" style="22" customWidth="1"/>
    <col min="9198" max="9198" width="18.42578125" style="22" customWidth="1"/>
    <col min="9199" max="9200" width="13.140625" style="22" customWidth="1"/>
    <col min="9201" max="9201" width="10.7109375" style="22" customWidth="1"/>
    <col min="9202" max="9202" width="40.85546875" style="22" customWidth="1"/>
    <col min="9203" max="9203" width="34.140625" style="22" customWidth="1"/>
    <col min="9204" max="9204" width="16" style="22" customWidth="1"/>
    <col min="9205" max="9205" width="15.7109375" style="22" customWidth="1"/>
    <col min="9206" max="9206" width="17.42578125" style="22" customWidth="1"/>
    <col min="9207" max="9207" width="10.7109375" style="22" customWidth="1"/>
    <col min="9208" max="9208" width="13" style="22" customWidth="1"/>
    <col min="9209" max="9209" width="16.7109375" style="22" customWidth="1"/>
    <col min="9210" max="9450" width="9.140625" style="22"/>
    <col min="9451" max="9451" width="35.5703125" style="22" customWidth="1"/>
    <col min="9452" max="9452" width="23" style="22" customWidth="1"/>
    <col min="9453" max="9453" width="17.7109375" style="22" customWidth="1"/>
    <col min="9454" max="9454" width="18.42578125" style="22" customWidth="1"/>
    <col min="9455" max="9456" width="13.140625" style="22" customWidth="1"/>
    <col min="9457" max="9457" width="10.7109375" style="22" customWidth="1"/>
    <col min="9458" max="9458" width="40.85546875" style="22" customWidth="1"/>
    <col min="9459" max="9459" width="34.140625" style="22" customWidth="1"/>
    <col min="9460" max="9460" width="16" style="22" customWidth="1"/>
    <col min="9461" max="9461" width="15.7109375" style="22" customWidth="1"/>
    <col min="9462" max="9462" width="17.42578125" style="22" customWidth="1"/>
    <col min="9463" max="9463" width="10.7109375" style="22" customWidth="1"/>
    <col min="9464" max="9464" width="13" style="22" customWidth="1"/>
    <col min="9465" max="9465" width="16.7109375" style="22" customWidth="1"/>
    <col min="9466" max="9706" width="9.140625" style="22"/>
    <col min="9707" max="9707" width="35.5703125" style="22" customWidth="1"/>
    <col min="9708" max="9708" width="23" style="22" customWidth="1"/>
    <col min="9709" max="9709" width="17.7109375" style="22" customWidth="1"/>
    <col min="9710" max="9710" width="18.42578125" style="22" customWidth="1"/>
    <col min="9711" max="9712" width="13.140625" style="22" customWidth="1"/>
    <col min="9713" max="9713" width="10.7109375" style="22" customWidth="1"/>
    <col min="9714" max="9714" width="40.85546875" style="22" customWidth="1"/>
    <col min="9715" max="9715" width="34.140625" style="22" customWidth="1"/>
    <col min="9716" max="9716" width="16" style="22" customWidth="1"/>
    <col min="9717" max="9717" width="15.7109375" style="22" customWidth="1"/>
    <col min="9718" max="9718" width="17.42578125" style="22" customWidth="1"/>
    <col min="9719" max="9719" width="10.7109375" style="22" customWidth="1"/>
    <col min="9720" max="9720" width="13" style="22" customWidth="1"/>
    <col min="9721" max="9721" width="16.7109375" style="22" customWidth="1"/>
    <col min="9722" max="9962" width="9.140625" style="22"/>
    <col min="9963" max="9963" width="35.5703125" style="22" customWidth="1"/>
    <col min="9964" max="9964" width="23" style="22" customWidth="1"/>
    <col min="9965" max="9965" width="17.7109375" style="22" customWidth="1"/>
    <col min="9966" max="9966" width="18.42578125" style="22" customWidth="1"/>
    <col min="9967" max="9968" width="13.140625" style="22" customWidth="1"/>
    <col min="9969" max="9969" width="10.7109375" style="22" customWidth="1"/>
    <col min="9970" max="9970" width="40.85546875" style="22" customWidth="1"/>
    <col min="9971" max="9971" width="34.140625" style="22" customWidth="1"/>
    <col min="9972" max="9972" width="16" style="22" customWidth="1"/>
    <col min="9973" max="9973" width="15.7109375" style="22" customWidth="1"/>
    <col min="9974" max="9974" width="17.42578125" style="22" customWidth="1"/>
    <col min="9975" max="9975" width="10.7109375" style="22" customWidth="1"/>
    <col min="9976" max="9976" width="13" style="22" customWidth="1"/>
    <col min="9977" max="9977" width="16.7109375" style="22" customWidth="1"/>
    <col min="9978" max="10218" width="9.140625" style="22"/>
    <col min="10219" max="10219" width="35.5703125" style="22" customWidth="1"/>
    <col min="10220" max="10220" width="23" style="22" customWidth="1"/>
    <col min="10221" max="10221" width="17.7109375" style="22" customWidth="1"/>
    <col min="10222" max="10222" width="18.42578125" style="22" customWidth="1"/>
    <col min="10223" max="10224" width="13.140625" style="22" customWidth="1"/>
    <col min="10225" max="10225" width="10.7109375" style="22" customWidth="1"/>
    <col min="10226" max="10226" width="40.85546875" style="22" customWidth="1"/>
    <col min="10227" max="10227" width="34.140625" style="22" customWidth="1"/>
    <col min="10228" max="10228" width="16" style="22" customWidth="1"/>
    <col min="10229" max="10229" width="15.7109375" style="22" customWidth="1"/>
    <col min="10230" max="10230" width="17.42578125" style="22" customWidth="1"/>
    <col min="10231" max="10231" width="10.7109375" style="22" customWidth="1"/>
    <col min="10232" max="10232" width="13" style="22" customWidth="1"/>
    <col min="10233" max="10233" width="16.7109375" style="22" customWidth="1"/>
    <col min="10234" max="10474" width="9.140625" style="22"/>
    <col min="10475" max="10475" width="35.5703125" style="22" customWidth="1"/>
    <col min="10476" max="10476" width="23" style="22" customWidth="1"/>
    <col min="10477" max="10477" width="17.7109375" style="22" customWidth="1"/>
    <col min="10478" max="10478" width="18.42578125" style="22" customWidth="1"/>
    <col min="10479" max="10480" width="13.140625" style="22" customWidth="1"/>
    <col min="10481" max="10481" width="10.7109375" style="22" customWidth="1"/>
    <col min="10482" max="10482" width="40.85546875" style="22" customWidth="1"/>
    <col min="10483" max="10483" width="34.140625" style="22" customWidth="1"/>
    <col min="10484" max="10484" width="16" style="22" customWidth="1"/>
    <col min="10485" max="10485" width="15.7109375" style="22" customWidth="1"/>
    <col min="10486" max="10486" width="17.42578125" style="22" customWidth="1"/>
    <col min="10487" max="10487" width="10.7109375" style="22" customWidth="1"/>
    <col min="10488" max="10488" width="13" style="22" customWidth="1"/>
    <col min="10489" max="10489" width="16.7109375" style="22" customWidth="1"/>
    <col min="10490" max="10730" width="9.140625" style="22"/>
    <col min="10731" max="10731" width="35.5703125" style="22" customWidth="1"/>
    <col min="10732" max="10732" width="23" style="22" customWidth="1"/>
    <col min="10733" max="10733" width="17.7109375" style="22" customWidth="1"/>
    <col min="10734" max="10734" width="18.42578125" style="22" customWidth="1"/>
    <col min="10735" max="10736" width="13.140625" style="22" customWidth="1"/>
    <col min="10737" max="10737" width="10.7109375" style="22" customWidth="1"/>
    <col min="10738" max="10738" width="40.85546875" style="22" customWidth="1"/>
    <col min="10739" max="10739" width="34.140625" style="22" customWidth="1"/>
    <col min="10740" max="10740" width="16" style="22" customWidth="1"/>
    <col min="10741" max="10741" width="15.7109375" style="22" customWidth="1"/>
    <col min="10742" max="10742" width="17.42578125" style="22" customWidth="1"/>
    <col min="10743" max="10743" width="10.7109375" style="22" customWidth="1"/>
    <col min="10744" max="10744" width="13" style="22" customWidth="1"/>
    <col min="10745" max="10745" width="16.7109375" style="22" customWidth="1"/>
    <col min="10746" max="10986" width="9.140625" style="22"/>
    <col min="10987" max="10987" width="35.5703125" style="22" customWidth="1"/>
    <col min="10988" max="10988" width="23" style="22" customWidth="1"/>
    <col min="10989" max="10989" width="17.7109375" style="22" customWidth="1"/>
    <col min="10990" max="10990" width="18.42578125" style="22" customWidth="1"/>
    <col min="10991" max="10992" width="13.140625" style="22" customWidth="1"/>
    <col min="10993" max="10993" width="10.7109375" style="22" customWidth="1"/>
    <col min="10994" max="10994" width="40.85546875" style="22" customWidth="1"/>
    <col min="10995" max="10995" width="34.140625" style="22" customWidth="1"/>
    <col min="10996" max="10996" width="16" style="22" customWidth="1"/>
    <col min="10997" max="10997" width="15.7109375" style="22" customWidth="1"/>
    <col min="10998" max="10998" width="17.42578125" style="22" customWidth="1"/>
    <col min="10999" max="10999" width="10.7109375" style="22" customWidth="1"/>
    <col min="11000" max="11000" width="13" style="22" customWidth="1"/>
    <col min="11001" max="11001" width="16.7109375" style="22" customWidth="1"/>
    <col min="11002" max="11242" width="9.140625" style="22"/>
    <col min="11243" max="11243" width="35.5703125" style="22" customWidth="1"/>
    <col min="11244" max="11244" width="23" style="22" customWidth="1"/>
    <col min="11245" max="11245" width="17.7109375" style="22" customWidth="1"/>
    <col min="11246" max="11246" width="18.42578125" style="22" customWidth="1"/>
    <col min="11247" max="11248" width="13.140625" style="22" customWidth="1"/>
    <col min="11249" max="11249" width="10.7109375" style="22" customWidth="1"/>
    <col min="11250" max="11250" width="40.85546875" style="22" customWidth="1"/>
    <col min="11251" max="11251" width="34.140625" style="22" customWidth="1"/>
    <col min="11252" max="11252" width="16" style="22" customWidth="1"/>
    <col min="11253" max="11253" width="15.7109375" style="22" customWidth="1"/>
    <col min="11254" max="11254" width="17.42578125" style="22" customWidth="1"/>
    <col min="11255" max="11255" width="10.7109375" style="22" customWidth="1"/>
    <col min="11256" max="11256" width="13" style="22" customWidth="1"/>
    <col min="11257" max="11257" width="16.7109375" style="22" customWidth="1"/>
    <col min="11258" max="11498" width="9.140625" style="22"/>
    <col min="11499" max="11499" width="35.5703125" style="22" customWidth="1"/>
    <col min="11500" max="11500" width="23" style="22" customWidth="1"/>
    <col min="11501" max="11501" width="17.7109375" style="22" customWidth="1"/>
    <col min="11502" max="11502" width="18.42578125" style="22" customWidth="1"/>
    <col min="11503" max="11504" width="13.140625" style="22" customWidth="1"/>
    <col min="11505" max="11505" width="10.7109375" style="22" customWidth="1"/>
    <col min="11506" max="11506" width="40.85546875" style="22" customWidth="1"/>
    <col min="11507" max="11507" width="34.140625" style="22" customWidth="1"/>
    <col min="11508" max="11508" width="16" style="22" customWidth="1"/>
    <col min="11509" max="11509" width="15.7109375" style="22" customWidth="1"/>
    <col min="11510" max="11510" width="17.42578125" style="22" customWidth="1"/>
    <col min="11511" max="11511" width="10.7109375" style="22" customWidth="1"/>
    <col min="11512" max="11512" width="13" style="22" customWidth="1"/>
    <col min="11513" max="11513" width="16.7109375" style="22" customWidth="1"/>
    <col min="11514" max="11754" width="9.140625" style="22"/>
    <col min="11755" max="11755" width="35.5703125" style="22" customWidth="1"/>
    <col min="11756" max="11756" width="23" style="22" customWidth="1"/>
    <col min="11757" max="11757" width="17.7109375" style="22" customWidth="1"/>
    <col min="11758" max="11758" width="18.42578125" style="22" customWidth="1"/>
    <col min="11759" max="11760" width="13.140625" style="22" customWidth="1"/>
    <col min="11761" max="11761" width="10.7109375" style="22" customWidth="1"/>
    <col min="11762" max="11762" width="40.85546875" style="22" customWidth="1"/>
    <col min="11763" max="11763" width="34.140625" style="22" customWidth="1"/>
    <col min="11764" max="11764" width="16" style="22" customWidth="1"/>
    <col min="11765" max="11765" width="15.7109375" style="22" customWidth="1"/>
    <col min="11766" max="11766" width="17.42578125" style="22" customWidth="1"/>
    <col min="11767" max="11767" width="10.7109375" style="22" customWidth="1"/>
    <col min="11768" max="11768" width="13" style="22" customWidth="1"/>
    <col min="11769" max="11769" width="16.7109375" style="22" customWidth="1"/>
    <col min="11770" max="12010" width="9.140625" style="22"/>
    <col min="12011" max="12011" width="35.5703125" style="22" customWidth="1"/>
    <col min="12012" max="12012" width="23" style="22" customWidth="1"/>
    <col min="12013" max="12013" width="17.7109375" style="22" customWidth="1"/>
    <col min="12014" max="12014" width="18.42578125" style="22" customWidth="1"/>
    <col min="12015" max="12016" width="13.140625" style="22" customWidth="1"/>
    <col min="12017" max="12017" width="10.7109375" style="22" customWidth="1"/>
    <col min="12018" max="12018" width="40.85546875" style="22" customWidth="1"/>
    <col min="12019" max="12019" width="34.140625" style="22" customWidth="1"/>
    <col min="12020" max="12020" width="16" style="22" customWidth="1"/>
    <col min="12021" max="12021" width="15.7109375" style="22" customWidth="1"/>
    <col min="12022" max="12022" width="17.42578125" style="22" customWidth="1"/>
    <col min="12023" max="12023" width="10.7109375" style="22" customWidth="1"/>
    <col min="12024" max="12024" width="13" style="22" customWidth="1"/>
    <col min="12025" max="12025" width="16.7109375" style="22" customWidth="1"/>
    <col min="12026" max="12266" width="9.140625" style="22"/>
    <col min="12267" max="12267" width="35.5703125" style="22" customWidth="1"/>
    <col min="12268" max="12268" width="23" style="22" customWidth="1"/>
    <col min="12269" max="12269" width="17.7109375" style="22" customWidth="1"/>
    <col min="12270" max="12270" width="18.42578125" style="22" customWidth="1"/>
    <col min="12271" max="12272" width="13.140625" style="22" customWidth="1"/>
    <col min="12273" max="12273" width="10.7109375" style="22" customWidth="1"/>
    <col min="12274" max="12274" width="40.85546875" style="22" customWidth="1"/>
    <col min="12275" max="12275" width="34.140625" style="22" customWidth="1"/>
    <col min="12276" max="12276" width="16" style="22" customWidth="1"/>
    <col min="12277" max="12277" width="15.7109375" style="22" customWidth="1"/>
    <col min="12278" max="12278" width="17.42578125" style="22" customWidth="1"/>
    <col min="12279" max="12279" width="10.7109375" style="22" customWidth="1"/>
    <col min="12280" max="12280" width="13" style="22" customWidth="1"/>
    <col min="12281" max="12281" width="16.7109375" style="22" customWidth="1"/>
    <col min="12282" max="12522" width="9.140625" style="22"/>
    <col min="12523" max="12523" width="35.5703125" style="22" customWidth="1"/>
    <col min="12524" max="12524" width="23" style="22" customWidth="1"/>
    <col min="12525" max="12525" width="17.7109375" style="22" customWidth="1"/>
    <col min="12526" max="12526" width="18.42578125" style="22" customWidth="1"/>
    <col min="12527" max="12528" width="13.140625" style="22" customWidth="1"/>
    <col min="12529" max="12529" width="10.7109375" style="22" customWidth="1"/>
    <col min="12530" max="12530" width="40.85546875" style="22" customWidth="1"/>
    <col min="12531" max="12531" width="34.140625" style="22" customWidth="1"/>
    <col min="12532" max="12532" width="16" style="22" customWidth="1"/>
    <col min="12533" max="12533" width="15.7109375" style="22" customWidth="1"/>
    <col min="12534" max="12534" width="17.42578125" style="22" customWidth="1"/>
    <col min="12535" max="12535" width="10.7109375" style="22" customWidth="1"/>
    <col min="12536" max="12536" width="13" style="22" customWidth="1"/>
    <col min="12537" max="12537" width="16.7109375" style="22" customWidth="1"/>
    <col min="12538" max="12778" width="9.140625" style="22"/>
    <col min="12779" max="12779" width="35.5703125" style="22" customWidth="1"/>
    <col min="12780" max="12780" width="23" style="22" customWidth="1"/>
    <col min="12781" max="12781" width="17.7109375" style="22" customWidth="1"/>
    <col min="12782" max="12782" width="18.42578125" style="22" customWidth="1"/>
    <col min="12783" max="12784" width="13.140625" style="22" customWidth="1"/>
    <col min="12785" max="12785" width="10.7109375" style="22" customWidth="1"/>
    <col min="12786" max="12786" width="40.85546875" style="22" customWidth="1"/>
    <col min="12787" max="12787" width="34.140625" style="22" customWidth="1"/>
    <col min="12788" max="12788" width="16" style="22" customWidth="1"/>
    <col min="12789" max="12789" width="15.7109375" style="22" customWidth="1"/>
    <col min="12790" max="12790" width="17.42578125" style="22" customWidth="1"/>
    <col min="12791" max="12791" width="10.7109375" style="22" customWidth="1"/>
    <col min="12792" max="12792" width="13" style="22" customWidth="1"/>
    <col min="12793" max="12793" width="16.7109375" style="22" customWidth="1"/>
    <col min="12794" max="13034" width="9.140625" style="22"/>
    <col min="13035" max="13035" width="35.5703125" style="22" customWidth="1"/>
    <col min="13036" max="13036" width="23" style="22" customWidth="1"/>
    <col min="13037" max="13037" width="17.7109375" style="22" customWidth="1"/>
    <col min="13038" max="13038" width="18.42578125" style="22" customWidth="1"/>
    <col min="13039" max="13040" width="13.140625" style="22" customWidth="1"/>
    <col min="13041" max="13041" width="10.7109375" style="22" customWidth="1"/>
    <col min="13042" max="13042" width="40.85546875" style="22" customWidth="1"/>
    <col min="13043" max="13043" width="34.140625" style="22" customWidth="1"/>
    <col min="13044" max="13044" width="16" style="22" customWidth="1"/>
    <col min="13045" max="13045" width="15.7109375" style="22" customWidth="1"/>
    <col min="13046" max="13046" width="17.42578125" style="22" customWidth="1"/>
    <col min="13047" max="13047" width="10.7109375" style="22" customWidth="1"/>
    <col min="13048" max="13048" width="13" style="22" customWidth="1"/>
    <col min="13049" max="13049" width="16.7109375" style="22" customWidth="1"/>
    <col min="13050" max="13290" width="9.140625" style="22"/>
    <col min="13291" max="13291" width="35.5703125" style="22" customWidth="1"/>
    <col min="13292" max="13292" width="23" style="22" customWidth="1"/>
    <col min="13293" max="13293" width="17.7109375" style="22" customWidth="1"/>
    <col min="13294" max="13294" width="18.42578125" style="22" customWidth="1"/>
    <col min="13295" max="13296" width="13.140625" style="22" customWidth="1"/>
    <col min="13297" max="13297" width="10.7109375" style="22" customWidth="1"/>
    <col min="13298" max="13298" width="40.85546875" style="22" customWidth="1"/>
    <col min="13299" max="13299" width="34.140625" style="22" customWidth="1"/>
    <col min="13300" max="13300" width="16" style="22" customWidth="1"/>
    <col min="13301" max="13301" width="15.7109375" style="22" customWidth="1"/>
    <col min="13302" max="13302" width="17.42578125" style="22" customWidth="1"/>
    <col min="13303" max="13303" width="10.7109375" style="22" customWidth="1"/>
    <col min="13304" max="13304" width="13" style="22" customWidth="1"/>
    <col min="13305" max="13305" width="16.7109375" style="22" customWidth="1"/>
    <col min="13306" max="13546" width="9.140625" style="22"/>
    <col min="13547" max="13547" width="35.5703125" style="22" customWidth="1"/>
    <col min="13548" max="13548" width="23" style="22" customWidth="1"/>
    <col min="13549" max="13549" width="17.7109375" style="22" customWidth="1"/>
    <col min="13550" max="13550" width="18.42578125" style="22" customWidth="1"/>
    <col min="13551" max="13552" width="13.140625" style="22" customWidth="1"/>
    <col min="13553" max="13553" width="10.7109375" style="22" customWidth="1"/>
    <col min="13554" max="13554" width="40.85546875" style="22" customWidth="1"/>
    <col min="13555" max="13555" width="34.140625" style="22" customWidth="1"/>
    <col min="13556" max="13556" width="16" style="22" customWidth="1"/>
    <col min="13557" max="13557" width="15.7109375" style="22" customWidth="1"/>
    <col min="13558" max="13558" width="17.42578125" style="22" customWidth="1"/>
    <col min="13559" max="13559" width="10.7109375" style="22" customWidth="1"/>
    <col min="13560" max="13560" width="13" style="22" customWidth="1"/>
    <col min="13561" max="13561" width="16.7109375" style="22" customWidth="1"/>
    <col min="13562" max="13802" width="9.140625" style="22"/>
    <col min="13803" max="13803" width="35.5703125" style="22" customWidth="1"/>
    <col min="13804" max="13804" width="23" style="22" customWidth="1"/>
    <col min="13805" max="13805" width="17.7109375" style="22" customWidth="1"/>
    <col min="13806" max="13806" width="18.42578125" style="22" customWidth="1"/>
    <col min="13807" max="13808" width="13.140625" style="22" customWidth="1"/>
    <col min="13809" max="13809" width="10.7109375" style="22" customWidth="1"/>
    <col min="13810" max="13810" width="40.85546875" style="22" customWidth="1"/>
    <col min="13811" max="13811" width="34.140625" style="22" customWidth="1"/>
    <col min="13812" max="13812" width="16" style="22" customWidth="1"/>
    <col min="13813" max="13813" width="15.7109375" style="22" customWidth="1"/>
    <col min="13814" max="13814" width="17.42578125" style="22" customWidth="1"/>
    <col min="13815" max="13815" width="10.7109375" style="22" customWidth="1"/>
    <col min="13816" max="13816" width="13" style="22" customWidth="1"/>
    <col min="13817" max="13817" width="16.7109375" style="22" customWidth="1"/>
    <col min="13818" max="14058" width="9.140625" style="22"/>
    <col min="14059" max="14059" width="35.5703125" style="22" customWidth="1"/>
    <col min="14060" max="14060" width="23" style="22" customWidth="1"/>
    <col min="14061" max="14061" width="17.7109375" style="22" customWidth="1"/>
    <col min="14062" max="14062" width="18.42578125" style="22" customWidth="1"/>
    <col min="14063" max="14064" width="13.140625" style="22" customWidth="1"/>
    <col min="14065" max="14065" width="10.7109375" style="22" customWidth="1"/>
    <col min="14066" max="14066" width="40.85546875" style="22" customWidth="1"/>
    <col min="14067" max="14067" width="34.140625" style="22" customWidth="1"/>
    <col min="14068" max="14068" width="16" style="22" customWidth="1"/>
    <col min="14069" max="14069" width="15.7109375" style="22" customWidth="1"/>
    <col min="14070" max="14070" width="17.42578125" style="22" customWidth="1"/>
    <col min="14071" max="14071" width="10.7109375" style="22" customWidth="1"/>
    <col min="14072" max="14072" width="13" style="22" customWidth="1"/>
    <col min="14073" max="14073" width="16.7109375" style="22" customWidth="1"/>
    <col min="14074" max="14314" width="9.140625" style="22"/>
    <col min="14315" max="14315" width="35.5703125" style="22" customWidth="1"/>
    <col min="14316" max="14316" width="23" style="22" customWidth="1"/>
    <col min="14317" max="14317" width="17.7109375" style="22" customWidth="1"/>
    <col min="14318" max="14318" width="18.42578125" style="22" customWidth="1"/>
    <col min="14319" max="14320" width="13.140625" style="22" customWidth="1"/>
    <col min="14321" max="14321" width="10.7109375" style="22" customWidth="1"/>
    <col min="14322" max="14322" width="40.85546875" style="22" customWidth="1"/>
    <col min="14323" max="14323" width="34.140625" style="22" customWidth="1"/>
    <col min="14324" max="14324" width="16" style="22" customWidth="1"/>
    <col min="14325" max="14325" width="15.7109375" style="22" customWidth="1"/>
    <col min="14326" max="14326" width="17.42578125" style="22" customWidth="1"/>
    <col min="14327" max="14327" width="10.7109375" style="22" customWidth="1"/>
    <col min="14328" max="14328" width="13" style="22" customWidth="1"/>
    <col min="14329" max="14329" width="16.7109375" style="22" customWidth="1"/>
    <col min="14330" max="14570" width="9.140625" style="22"/>
    <col min="14571" max="14571" width="35.5703125" style="22" customWidth="1"/>
    <col min="14572" max="14572" width="23" style="22" customWidth="1"/>
    <col min="14573" max="14573" width="17.7109375" style="22" customWidth="1"/>
    <col min="14574" max="14574" width="18.42578125" style="22" customWidth="1"/>
    <col min="14575" max="14576" width="13.140625" style="22" customWidth="1"/>
    <col min="14577" max="14577" width="10.7109375" style="22" customWidth="1"/>
    <col min="14578" max="14578" width="40.85546875" style="22" customWidth="1"/>
    <col min="14579" max="14579" width="34.140625" style="22" customWidth="1"/>
    <col min="14580" max="14580" width="16" style="22" customWidth="1"/>
    <col min="14581" max="14581" width="15.7109375" style="22" customWidth="1"/>
    <col min="14582" max="14582" width="17.42578125" style="22" customWidth="1"/>
    <col min="14583" max="14583" width="10.7109375" style="22" customWidth="1"/>
    <col min="14584" max="14584" width="13" style="22" customWidth="1"/>
    <col min="14585" max="14585" width="16.7109375" style="22" customWidth="1"/>
    <col min="14586" max="14826" width="9.140625" style="22"/>
    <col min="14827" max="14827" width="35.5703125" style="22" customWidth="1"/>
    <col min="14828" max="14828" width="23" style="22" customWidth="1"/>
    <col min="14829" max="14829" width="17.7109375" style="22" customWidth="1"/>
    <col min="14830" max="14830" width="18.42578125" style="22" customWidth="1"/>
    <col min="14831" max="14832" width="13.140625" style="22" customWidth="1"/>
    <col min="14833" max="14833" width="10.7109375" style="22" customWidth="1"/>
    <col min="14834" max="14834" width="40.85546875" style="22" customWidth="1"/>
    <col min="14835" max="14835" width="34.140625" style="22" customWidth="1"/>
    <col min="14836" max="14836" width="16" style="22" customWidth="1"/>
    <col min="14837" max="14837" width="15.7109375" style="22" customWidth="1"/>
    <col min="14838" max="14838" width="17.42578125" style="22" customWidth="1"/>
    <col min="14839" max="14839" width="10.7109375" style="22" customWidth="1"/>
    <col min="14840" max="14840" width="13" style="22" customWidth="1"/>
    <col min="14841" max="14841" width="16.7109375" style="22" customWidth="1"/>
    <col min="14842" max="15082" width="9.140625" style="22"/>
    <col min="15083" max="15083" width="35.5703125" style="22" customWidth="1"/>
    <col min="15084" max="15084" width="23" style="22" customWidth="1"/>
    <col min="15085" max="15085" width="17.7109375" style="22" customWidth="1"/>
    <col min="15086" max="15086" width="18.42578125" style="22" customWidth="1"/>
    <col min="15087" max="15088" width="13.140625" style="22" customWidth="1"/>
    <col min="15089" max="15089" width="10.7109375" style="22" customWidth="1"/>
    <col min="15090" max="15090" width="40.85546875" style="22" customWidth="1"/>
    <col min="15091" max="15091" width="34.140625" style="22" customWidth="1"/>
    <col min="15092" max="15092" width="16" style="22" customWidth="1"/>
    <col min="15093" max="15093" width="15.7109375" style="22" customWidth="1"/>
    <col min="15094" max="15094" width="17.42578125" style="22" customWidth="1"/>
    <col min="15095" max="15095" width="10.7109375" style="22" customWidth="1"/>
    <col min="15096" max="15096" width="13" style="22" customWidth="1"/>
    <col min="15097" max="15097" width="16.7109375" style="22" customWidth="1"/>
    <col min="15098" max="15338" width="9.140625" style="22"/>
    <col min="15339" max="15339" width="35.5703125" style="22" customWidth="1"/>
    <col min="15340" max="15340" width="23" style="22" customWidth="1"/>
    <col min="15341" max="15341" width="17.7109375" style="22" customWidth="1"/>
    <col min="15342" max="15342" width="18.42578125" style="22" customWidth="1"/>
    <col min="15343" max="15344" width="13.140625" style="22" customWidth="1"/>
    <col min="15345" max="15345" width="10.7109375" style="22" customWidth="1"/>
    <col min="15346" max="15346" width="40.85546875" style="22" customWidth="1"/>
    <col min="15347" max="15347" width="34.140625" style="22" customWidth="1"/>
    <col min="15348" max="15348" width="16" style="22" customWidth="1"/>
    <col min="15349" max="15349" width="15.7109375" style="22" customWidth="1"/>
    <col min="15350" max="15350" width="17.42578125" style="22" customWidth="1"/>
    <col min="15351" max="15351" width="10.7109375" style="22" customWidth="1"/>
    <col min="15352" max="15352" width="13" style="22" customWidth="1"/>
    <col min="15353" max="15353" width="16.7109375" style="22" customWidth="1"/>
    <col min="15354" max="15594" width="9.140625" style="22"/>
    <col min="15595" max="15595" width="35.5703125" style="22" customWidth="1"/>
    <col min="15596" max="15596" width="23" style="22" customWidth="1"/>
    <col min="15597" max="15597" width="17.7109375" style="22" customWidth="1"/>
    <col min="15598" max="15598" width="18.42578125" style="22" customWidth="1"/>
    <col min="15599" max="15600" width="13.140625" style="22" customWidth="1"/>
    <col min="15601" max="15601" width="10.7109375" style="22" customWidth="1"/>
    <col min="15602" max="15602" width="40.85546875" style="22" customWidth="1"/>
    <col min="15603" max="15603" width="34.140625" style="22" customWidth="1"/>
    <col min="15604" max="15604" width="16" style="22" customWidth="1"/>
    <col min="15605" max="15605" width="15.7109375" style="22" customWidth="1"/>
    <col min="15606" max="15606" width="17.42578125" style="22" customWidth="1"/>
    <col min="15607" max="15607" width="10.7109375" style="22" customWidth="1"/>
    <col min="15608" max="15608" width="13" style="22" customWidth="1"/>
    <col min="15609" max="15609" width="16.7109375" style="22" customWidth="1"/>
    <col min="15610" max="15850" width="9.140625" style="22"/>
    <col min="15851" max="15851" width="35.5703125" style="22" customWidth="1"/>
    <col min="15852" max="15852" width="23" style="22" customWidth="1"/>
    <col min="15853" max="15853" width="17.7109375" style="22" customWidth="1"/>
    <col min="15854" max="15854" width="18.42578125" style="22" customWidth="1"/>
    <col min="15855" max="15856" width="13.140625" style="22" customWidth="1"/>
    <col min="15857" max="15857" width="10.7109375" style="22" customWidth="1"/>
    <col min="15858" max="15858" width="40.85546875" style="22" customWidth="1"/>
    <col min="15859" max="15859" width="34.140625" style="22" customWidth="1"/>
    <col min="15860" max="15860" width="16" style="22" customWidth="1"/>
    <col min="15861" max="15861" width="15.7109375" style="22" customWidth="1"/>
    <col min="15862" max="15862" width="17.42578125" style="22" customWidth="1"/>
    <col min="15863" max="15863" width="10.7109375" style="22" customWidth="1"/>
    <col min="15864" max="15864" width="13" style="22" customWidth="1"/>
    <col min="15865" max="15865" width="16.7109375" style="22" customWidth="1"/>
    <col min="15866" max="16106" width="9.140625" style="22"/>
    <col min="16107" max="16107" width="35.5703125" style="22" customWidth="1"/>
    <col min="16108" max="16108" width="23" style="22" customWidth="1"/>
    <col min="16109" max="16109" width="17.7109375" style="22" customWidth="1"/>
    <col min="16110" max="16110" width="18.42578125" style="22" customWidth="1"/>
    <col min="16111" max="16112" width="13.140625" style="22" customWidth="1"/>
    <col min="16113" max="16113" width="10.7109375" style="22" customWidth="1"/>
    <col min="16114" max="16114" width="40.85546875" style="22" customWidth="1"/>
    <col min="16115" max="16115" width="34.140625" style="22" customWidth="1"/>
    <col min="16116" max="16116" width="16" style="22" customWidth="1"/>
    <col min="16117" max="16117" width="15.7109375" style="22" customWidth="1"/>
    <col min="16118" max="16118" width="17.42578125" style="22" customWidth="1"/>
    <col min="16119" max="16119" width="10.7109375" style="22" customWidth="1"/>
    <col min="16120" max="16120" width="13" style="22" customWidth="1"/>
    <col min="16121" max="16121" width="16.7109375" style="22" customWidth="1"/>
    <col min="16122" max="16360" width="9.140625" style="22"/>
    <col min="16361" max="16384" width="9.140625" style="22" customWidth="1"/>
  </cols>
  <sheetData>
    <row r="2" spans="1:19" ht="57" customHeight="1"/>
    <row r="3" spans="1:19" s="29" customFormat="1" ht="24" customHeight="1">
      <c r="A3" s="435" t="s">
        <v>338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9" s="29" customFormat="1" ht="24" customHeight="1">
      <c r="A4" s="441" t="s">
        <v>339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9" ht="23.25" customHeight="1">
      <c r="A5" s="29"/>
      <c r="B5" s="29"/>
      <c r="C5" s="29"/>
      <c r="D5" s="29"/>
      <c r="E5" s="29"/>
      <c r="F5" s="29"/>
      <c r="G5" s="202"/>
      <c r="H5" s="467"/>
      <c r="I5" s="467"/>
      <c r="J5" s="29"/>
      <c r="K5" s="29"/>
      <c r="L5" s="29"/>
      <c r="M5" s="29"/>
      <c r="N5" s="29"/>
      <c r="O5" s="29"/>
    </row>
    <row r="6" spans="1:19" s="33" customFormat="1" ht="69.75" customHeight="1">
      <c r="A6" s="430" t="s">
        <v>340</v>
      </c>
      <c r="B6" s="432" t="s">
        <v>341</v>
      </c>
      <c r="C6" s="432"/>
      <c r="D6" s="236" t="s">
        <v>342</v>
      </c>
      <c r="E6" s="236" t="s">
        <v>343</v>
      </c>
      <c r="F6" s="236" t="s">
        <v>344</v>
      </c>
      <c r="G6" s="85"/>
      <c r="H6" s="468"/>
      <c r="I6" s="468"/>
      <c r="J6" s="430" t="s">
        <v>340</v>
      </c>
      <c r="K6" s="432" t="s">
        <v>345</v>
      </c>
      <c r="L6" s="432"/>
      <c r="M6" s="236" t="s">
        <v>342</v>
      </c>
      <c r="N6" s="236" t="s">
        <v>346</v>
      </c>
      <c r="O6" s="236" t="s">
        <v>344</v>
      </c>
    </row>
    <row r="7" spans="1:19" s="33" customFormat="1" ht="37.9" customHeight="1">
      <c r="A7" s="430"/>
      <c r="B7" s="436" t="s">
        <v>347</v>
      </c>
      <c r="C7" s="436"/>
      <c r="D7" s="198">
        <f>Fontes!B12-Fontes!B16-Fontes!B19</f>
        <v>3123103</v>
      </c>
      <c r="E7" s="198">
        <f>Fontes!C12-Fontes!C16-Fontes!C19</f>
        <v>2849311.4299999997</v>
      </c>
      <c r="F7" s="100">
        <f>IFERROR(E7/D7*100-100,0)</f>
        <v>-8.7666519483987599</v>
      </c>
      <c r="G7" s="203">
        <f>[1]FORM.3!E6</f>
        <v>3123103</v>
      </c>
      <c r="H7" s="469" t="b">
        <f>D7=G7</f>
        <v>1</v>
      </c>
      <c r="I7" s="469">
        <f>Fontes!C12-Fontes!C16-Fontes!C19</f>
        <v>2849311.4299999997</v>
      </c>
      <c r="J7" s="430"/>
      <c r="K7" s="437" t="s">
        <v>348</v>
      </c>
      <c r="L7" s="437"/>
      <c r="M7" s="209">
        <f>P7</f>
        <v>1968132.95</v>
      </c>
      <c r="N7" s="194">
        <v>1881791.56</v>
      </c>
      <c r="O7" s="87">
        <f>IFERROR(N7/M7*100-100,0)</f>
        <v>-4.3869693863923089</v>
      </c>
      <c r="P7" s="203">
        <f>[1]FORM.3!L6</f>
        <v>1968132.95</v>
      </c>
      <c r="Q7" s="469" t="b">
        <f>M7=P7</f>
        <v>1</v>
      </c>
      <c r="R7" s="469">
        <f>'Balanço Orç.'!H42</f>
        <v>1881791.56</v>
      </c>
    </row>
    <row r="8" spans="1:19" s="33" customFormat="1" ht="38.450000000000003" customHeight="1">
      <c r="A8" s="430"/>
      <c r="B8" s="438" t="s">
        <v>349</v>
      </c>
      <c r="C8" s="438"/>
      <c r="D8" s="198">
        <f>Fontes!B24</f>
        <v>0</v>
      </c>
      <c r="E8" s="198">
        <f>Fontes!C24</f>
        <v>0</v>
      </c>
      <c r="F8" s="100">
        <f>IFERROR(E8/D8*100-100,0)</f>
        <v>0</v>
      </c>
      <c r="G8" s="203">
        <f>[1]FORM.3!E7</f>
        <v>0</v>
      </c>
      <c r="H8" s="469" t="b">
        <f t="shared" ref="H8:H27" si="0">D8=G8</f>
        <v>1</v>
      </c>
      <c r="I8" s="469">
        <v>0</v>
      </c>
      <c r="J8" s="430"/>
      <c r="K8" s="437" t="s">
        <v>350</v>
      </c>
      <c r="L8" s="437"/>
      <c r="M8" s="195">
        <v>231516</v>
      </c>
      <c r="N8" s="195">
        <v>227178.33</v>
      </c>
      <c r="O8" s="87">
        <f>IFERROR(N8/M8*100-100,0)</f>
        <v>-1.8735940496553241</v>
      </c>
      <c r="P8" s="203">
        <f>[1]FORM.3!L7</f>
        <v>231516</v>
      </c>
      <c r="Q8" s="469" t="b">
        <f t="shared" ref="Q8:Q17" si="1">M8=P8</f>
        <v>1</v>
      </c>
      <c r="R8" s="469">
        <f>N8</f>
        <v>227178.33</v>
      </c>
    </row>
    <row r="9" spans="1:19" s="33" customFormat="1" ht="39" customHeight="1">
      <c r="A9" s="430"/>
      <c r="B9" s="439" t="s">
        <v>351</v>
      </c>
      <c r="C9" s="439"/>
      <c r="D9" s="199">
        <f>SUM(D7:D8)</f>
        <v>3123103</v>
      </c>
      <c r="E9" s="199">
        <f>SUM(E7:E8)</f>
        <v>2849311.4299999997</v>
      </c>
      <c r="F9" s="88">
        <f>IFERROR(E9/D9*100-100,0)</f>
        <v>-8.7666519483987599</v>
      </c>
      <c r="G9" s="203">
        <f>[1]FORM.3!E8</f>
        <v>3123103</v>
      </c>
      <c r="H9" s="469" t="b">
        <f t="shared" si="0"/>
        <v>1</v>
      </c>
      <c r="I9" s="469">
        <f>I7+I8</f>
        <v>2849311.4299999997</v>
      </c>
      <c r="J9" s="430"/>
      <c r="K9" s="437" t="s">
        <v>352</v>
      </c>
      <c r="L9" s="437"/>
      <c r="M9" s="196">
        <f>Fontes!B11</f>
        <v>3494316</v>
      </c>
      <c r="N9" s="196">
        <f>Fontes!C11</f>
        <v>3462563.36</v>
      </c>
      <c r="O9" s="87">
        <f>IFERROR(N9/M9*100-100,0)</f>
        <v>-0.90869400477805584</v>
      </c>
      <c r="P9" s="203">
        <f>[1]FORM.3!L8</f>
        <v>3494316</v>
      </c>
      <c r="Q9" s="469" t="b">
        <f t="shared" si="1"/>
        <v>1</v>
      </c>
      <c r="R9" s="469">
        <f>Fontes!C11</f>
        <v>3462563.36</v>
      </c>
    </row>
    <row r="10" spans="1:19" s="33" customFormat="1" ht="38.25" customHeight="1">
      <c r="A10" s="430"/>
      <c r="B10" s="438" t="s">
        <v>353</v>
      </c>
      <c r="C10" s="438"/>
      <c r="D10" s="208">
        <f>G10</f>
        <v>57234.05</v>
      </c>
      <c r="E10" s="195">
        <v>57234.1</v>
      </c>
      <c r="F10" s="86">
        <f>IFERROR(E10/D10*100-100,0)</f>
        <v>8.7360583407303238E-5</v>
      </c>
      <c r="G10" s="203">
        <f>[1]FORM.3!E9</f>
        <v>57234.05</v>
      </c>
      <c r="H10" s="469" t="b">
        <f t="shared" si="0"/>
        <v>1</v>
      </c>
      <c r="I10" s="469">
        <f>Demonstrativo!E46</f>
        <v>57234.1</v>
      </c>
      <c r="J10" s="440"/>
      <c r="K10" s="440"/>
      <c r="L10" s="85"/>
      <c r="M10" s="89"/>
      <c r="N10" s="89"/>
      <c r="O10" s="90"/>
      <c r="P10" s="203"/>
      <c r="Q10" s="469"/>
      <c r="R10" s="471"/>
    </row>
    <row r="11" spans="1:19" s="33" customFormat="1" ht="28.15" customHeight="1">
      <c r="A11" s="430"/>
      <c r="B11" s="426" t="s">
        <v>354</v>
      </c>
      <c r="C11" s="426"/>
      <c r="D11" s="199">
        <f>D9-D10</f>
        <v>3065868.95</v>
      </c>
      <c r="E11" s="199">
        <f>E9-E10</f>
        <v>2792077.3299999996</v>
      </c>
      <c r="F11" s="88">
        <f>IFERROR(E11/D11*100-100,0)</f>
        <v>-8.9303106057419939</v>
      </c>
      <c r="G11" s="203">
        <f>[1]FORM.3!E10</f>
        <v>3065868.95</v>
      </c>
      <c r="H11" s="469" t="b">
        <f t="shared" si="0"/>
        <v>1</v>
      </c>
      <c r="I11" s="469">
        <f>I9-I10</f>
        <v>2792077.3299999996</v>
      </c>
      <c r="J11" s="92"/>
      <c r="K11" s="92"/>
      <c r="L11" s="85"/>
      <c r="M11" s="90"/>
      <c r="N11" s="93"/>
      <c r="O11" s="90"/>
      <c r="P11" s="203"/>
      <c r="Q11" s="469"/>
      <c r="R11" s="471"/>
    </row>
    <row r="12" spans="1:19" s="34" customFormat="1" ht="18.75">
      <c r="A12" s="94"/>
      <c r="B12" s="95"/>
      <c r="C12" s="95"/>
      <c r="D12" s="91"/>
      <c r="E12" s="91"/>
      <c r="F12" s="90"/>
      <c r="G12" s="203"/>
      <c r="H12" s="469"/>
      <c r="I12" s="469"/>
      <c r="J12" s="92"/>
      <c r="K12" s="92"/>
      <c r="L12" s="85"/>
      <c r="M12" s="90"/>
      <c r="N12" s="93"/>
      <c r="O12" s="90"/>
      <c r="P12" s="203"/>
      <c r="Q12" s="469"/>
      <c r="R12" s="472"/>
    </row>
    <row r="13" spans="1:19" s="33" customFormat="1" ht="69.75" customHeight="1">
      <c r="A13" s="430" t="s">
        <v>355</v>
      </c>
      <c r="B13" s="432" t="s">
        <v>356</v>
      </c>
      <c r="C13" s="432"/>
      <c r="D13" s="236" t="s">
        <v>342</v>
      </c>
      <c r="E13" s="236" t="s">
        <v>346</v>
      </c>
      <c r="F13" s="236" t="s">
        <v>357</v>
      </c>
      <c r="G13" s="203"/>
      <c r="H13" s="469"/>
      <c r="I13" s="469"/>
      <c r="J13" s="432" t="s">
        <v>356</v>
      </c>
      <c r="K13" s="432"/>
      <c r="L13" s="432"/>
      <c r="M13" s="236" t="s">
        <v>342</v>
      </c>
      <c r="N13" s="236" t="s">
        <v>346</v>
      </c>
      <c r="O13" s="236" t="s">
        <v>358</v>
      </c>
      <c r="P13" s="203"/>
      <c r="Q13" s="469"/>
      <c r="R13" s="471"/>
    </row>
    <row r="14" spans="1:19" s="33" customFormat="1" ht="39" customHeight="1">
      <c r="A14" s="430"/>
      <c r="B14" s="431" t="s">
        <v>359</v>
      </c>
      <c r="C14" s="96" t="s">
        <v>360</v>
      </c>
      <c r="D14" s="209">
        <f>G14</f>
        <v>917523.15999999992</v>
      </c>
      <c r="E14" s="194">
        <f>'Quadro Geral'!H12+'Quadro Geral'!H15</f>
        <v>903039.48</v>
      </c>
      <c r="F14" s="86">
        <f>IFERROR(E14/D14*100-100,)</f>
        <v>-1.5785628779114376</v>
      </c>
      <c r="G14" s="203">
        <f>[1]FORM.3!E13</f>
        <v>917523.15999999992</v>
      </c>
      <c r="H14" s="469" t="b">
        <f t="shared" si="0"/>
        <v>1</v>
      </c>
      <c r="I14" s="469">
        <f>'Quadro Geral'!H12+'Quadro Geral'!H15</f>
        <v>903039.48</v>
      </c>
      <c r="J14" s="431" t="s">
        <v>361</v>
      </c>
      <c r="K14" s="431"/>
      <c r="L14" s="96" t="s">
        <v>360</v>
      </c>
      <c r="M14" s="197">
        <f>(M7-M8)</f>
        <v>1736616.95</v>
      </c>
      <c r="N14" s="197">
        <f>(N7-N8)</f>
        <v>1654613.23</v>
      </c>
      <c r="O14" s="86">
        <f>IFERROR(N14/M14*100-100,)</f>
        <v>-4.722038443768497</v>
      </c>
      <c r="P14" s="203">
        <f>[1]FORM.3!L13</f>
        <v>1736616.95</v>
      </c>
      <c r="Q14" s="469" t="b">
        <f t="shared" si="1"/>
        <v>1</v>
      </c>
      <c r="R14" s="469">
        <f>R7-R8</f>
        <v>1654613.23</v>
      </c>
      <c r="S14" s="203"/>
    </row>
    <row r="15" spans="1:19" s="33" customFormat="1" ht="39" customHeight="1">
      <c r="A15" s="430"/>
      <c r="B15" s="431"/>
      <c r="C15" s="97" t="s">
        <v>362</v>
      </c>
      <c r="D15" s="98">
        <f>IFERROR(D14/$D$11,0)</f>
        <v>0.29927018243881554</v>
      </c>
      <c r="E15" s="98">
        <f>IFERROR(E14/$E$11,0)</f>
        <v>0.32342925115186549</v>
      </c>
      <c r="F15" s="87">
        <f>(E15-D15)*100</f>
        <v>2.4159068713049958</v>
      </c>
      <c r="G15" s="204">
        <f>[1]FORM.3!E14</f>
        <v>0.29927018243881554</v>
      </c>
      <c r="H15" s="469" t="b">
        <f t="shared" si="0"/>
        <v>1</v>
      </c>
      <c r="I15" s="470">
        <f>I14/$I$11</f>
        <v>0.32342925115186549</v>
      </c>
      <c r="J15" s="431"/>
      <c r="K15" s="431"/>
      <c r="L15" s="97" t="s">
        <v>362</v>
      </c>
      <c r="M15" s="99">
        <f>IFERROR(M14/M9,)</f>
        <v>0.49698337242539026</v>
      </c>
      <c r="N15" s="99">
        <f>IFERROR(N14/N9,)</f>
        <v>0.47785789254120681</v>
      </c>
      <c r="O15" s="87">
        <f>(N15-M15)*100</f>
        <v>-1.9125479884183449</v>
      </c>
      <c r="P15" s="204">
        <f>[1]FORM.3!L14</f>
        <v>0.49698337242539026</v>
      </c>
      <c r="Q15" s="469" t="b">
        <f t="shared" si="1"/>
        <v>1</v>
      </c>
      <c r="R15" s="470">
        <f>R14/R9</f>
        <v>0.47785789254120681</v>
      </c>
      <c r="S15" s="204"/>
    </row>
    <row r="16" spans="1:19" s="33" customFormat="1" ht="39" customHeight="1">
      <c r="A16" s="430"/>
      <c r="B16" s="431" t="s">
        <v>363</v>
      </c>
      <c r="C16" s="96" t="s">
        <v>360</v>
      </c>
      <c r="D16" s="209">
        <f>G16</f>
        <v>423836.84</v>
      </c>
      <c r="E16" s="194">
        <f>'Quadro Geral'!H13+'Quadro Geral'!H16</f>
        <v>413665.14</v>
      </c>
      <c r="F16" s="86">
        <f>IFERROR(E16/D16*100-100,)</f>
        <v>-2.399909361347639</v>
      </c>
      <c r="G16" s="203">
        <f>[1]FORM.3!E15</f>
        <v>423836.84</v>
      </c>
      <c r="H16" s="469" t="b">
        <f t="shared" si="0"/>
        <v>1</v>
      </c>
      <c r="I16" s="469">
        <f>'Quadro Geral'!H13+'Quadro Geral'!H16</f>
        <v>413665.14</v>
      </c>
      <c r="J16" s="431" t="s">
        <v>364</v>
      </c>
      <c r="K16" s="431"/>
      <c r="L16" s="96" t="s">
        <v>360</v>
      </c>
      <c r="M16" s="209">
        <f>P16</f>
        <v>69700.02</v>
      </c>
      <c r="N16" s="194">
        <v>57088.7</v>
      </c>
      <c r="O16" s="86">
        <f>IFERROR(N16/M16*100-100,)</f>
        <v>-18.093710733511998</v>
      </c>
      <c r="P16" s="203">
        <f>[1]FORM.3!L15</f>
        <v>69700.02</v>
      </c>
      <c r="Q16" s="469" t="b">
        <f t="shared" si="1"/>
        <v>1</v>
      </c>
      <c r="R16" s="469">
        <f>'Quadro Geral'!H14</f>
        <v>57088.7</v>
      </c>
      <c r="S16" s="203"/>
    </row>
    <row r="17" spans="1:19" s="33" customFormat="1" ht="39" customHeight="1">
      <c r="A17" s="430"/>
      <c r="B17" s="431"/>
      <c r="C17" s="97" t="s">
        <v>362</v>
      </c>
      <c r="D17" s="98">
        <f>IFERROR(D16/$D$11,0)</f>
        <v>0.13824362584056307</v>
      </c>
      <c r="E17" s="98">
        <f>IFERROR(E16/$E$11,0)</f>
        <v>0.14815676326557906</v>
      </c>
      <c r="F17" s="87">
        <f>(E17-D17)*100</f>
        <v>0.99131374250159832</v>
      </c>
      <c r="G17" s="204">
        <f>[1]FORM.3!E16</f>
        <v>0.13824362584056307</v>
      </c>
      <c r="H17" s="469" t="b">
        <f t="shared" si="0"/>
        <v>1</v>
      </c>
      <c r="I17" s="470">
        <f>I16/$I$11</f>
        <v>0.14815676326557906</v>
      </c>
      <c r="J17" s="431"/>
      <c r="K17" s="431"/>
      <c r="L17" s="97" t="s">
        <v>362</v>
      </c>
      <c r="M17" s="99">
        <f>IFERROR(M16/M7,)</f>
        <v>3.5414284385615315E-2</v>
      </c>
      <c r="N17" s="99">
        <f>IFERROR(N16/N7,)</f>
        <v>3.0337419517387991E-2</v>
      </c>
      <c r="O17" s="87">
        <f>(N17-M17)*100</f>
        <v>-0.50768648682273243</v>
      </c>
      <c r="P17" s="204">
        <f>[1]FORM.3!L16</f>
        <v>3.5414284385615315E-2</v>
      </c>
      <c r="Q17" s="469" t="b">
        <f t="shared" si="1"/>
        <v>1</v>
      </c>
      <c r="R17" s="470">
        <f>R16/R7</f>
        <v>3.0337419517387991E-2</v>
      </c>
      <c r="S17" s="204"/>
    </row>
    <row r="18" spans="1:19" s="33" customFormat="1" ht="39" customHeight="1">
      <c r="A18" s="430"/>
      <c r="B18" s="431" t="s">
        <v>365</v>
      </c>
      <c r="C18" s="96" t="s">
        <v>360</v>
      </c>
      <c r="D18" s="194">
        <v>163512</v>
      </c>
      <c r="E18" s="194">
        <v>122594.55</v>
      </c>
      <c r="F18" s="86">
        <f>IFERROR(E18/D18*100-100,)</f>
        <v>-25.024126669602225</v>
      </c>
      <c r="G18" s="203">
        <f>[1]FORM.3!E17</f>
        <v>163512</v>
      </c>
      <c r="H18" s="469" t="b">
        <f t="shared" si="0"/>
        <v>1</v>
      </c>
      <c r="I18" s="469">
        <f>'Quadro Geral'!H11</f>
        <v>122594.55</v>
      </c>
      <c r="J18" s="29"/>
      <c r="K18" s="29"/>
      <c r="L18" s="29"/>
      <c r="M18" s="29"/>
      <c r="N18" s="146">
        <f>N7/N9</f>
        <v>0.54346776198775471</v>
      </c>
      <c r="O18" s="29"/>
    </row>
    <row r="19" spans="1:19" s="33" customFormat="1" ht="39" customHeight="1">
      <c r="A19" s="430"/>
      <c r="B19" s="431"/>
      <c r="C19" s="97" t="s">
        <v>362</v>
      </c>
      <c r="D19" s="98">
        <f>IFERROR(D18/$D$11,0)</f>
        <v>5.333300368236548E-2</v>
      </c>
      <c r="E19" s="98">
        <f>IFERROR(E18/$E$11,0)</f>
        <v>4.3908006659686617E-2</v>
      </c>
      <c r="F19" s="87">
        <f>(E19-D19)*100</f>
        <v>-0.94249970226788626</v>
      </c>
      <c r="G19" s="204">
        <f>[1]FORM.3!E18</f>
        <v>5.333300368236548E-2</v>
      </c>
      <c r="H19" s="469" t="b">
        <f t="shared" si="0"/>
        <v>1</v>
      </c>
      <c r="I19" s="470">
        <f>I18/$I$11</f>
        <v>4.3908006659686617E-2</v>
      </c>
      <c r="J19" s="29"/>
      <c r="K19" s="29"/>
      <c r="L19" s="29"/>
      <c r="M19" s="29"/>
      <c r="N19" s="29"/>
      <c r="O19" s="29"/>
    </row>
    <row r="20" spans="1:19" s="33" customFormat="1" ht="39" customHeight="1">
      <c r="A20" s="430"/>
      <c r="B20" s="431" t="s">
        <v>366</v>
      </c>
      <c r="C20" s="96" t="s">
        <v>360</v>
      </c>
      <c r="D20" s="209">
        <f>G20</f>
        <v>31805.29</v>
      </c>
      <c r="E20" s="194">
        <f>'Quadro Geral'!H19</f>
        <v>31805.29</v>
      </c>
      <c r="F20" s="86">
        <f>IFERROR(E20/D20*100-100,)</f>
        <v>0</v>
      </c>
      <c r="G20" s="203">
        <f>[1]FORM.3!E19</f>
        <v>31805.29</v>
      </c>
      <c r="H20" s="469" t="b">
        <f t="shared" si="0"/>
        <v>1</v>
      </c>
      <c r="I20" s="469">
        <f>'Quadro Geral'!H19</f>
        <v>31805.29</v>
      </c>
      <c r="J20" s="200"/>
      <c r="K20" s="200"/>
      <c r="L20" s="29"/>
      <c r="M20" s="29"/>
      <c r="N20" s="29"/>
      <c r="O20" s="29"/>
    </row>
    <row r="21" spans="1:19" s="33" customFormat="1" ht="39" customHeight="1">
      <c r="A21" s="430"/>
      <c r="B21" s="431"/>
      <c r="C21" s="97" t="s">
        <v>362</v>
      </c>
      <c r="D21" s="98">
        <f>IFERROR(D20/$D$11,0)</f>
        <v>1.0373988751215214E-2</v>
      </c>
      <c r="E21" s="98">
        <f>IFERROR(E20/$E$11,0)</f>
        <v>1.1391264009152642E-2</v>
      </c>
      <c r="F21" s="87">
        <f>(E21-D21)*100</f>
        <v>0.10172752579374281</v>
      </c>
      <c r="G21" s="204">
        <f>[1]FORM.3!E20</f>
        <v>1.0373988751215214E-2</v>
      </c>
      <c r="H21" s="469" t="b">
        <f t="shared" si="0"/>
        <v>1</v>
      </c>
      <c r="I21" s="470">
        <f>I20/$I$11</f>
        <v>1.1391264009152642E-2</v>
      </c>
      <c r="J21" s="29"/>
      <c r="K21" s="29"/>
      <c r="L21" s="29"/>
      <c r="M21" s="29"/>
      <c r="N21" s="29"/>
      <c r="O21" s="29"/>
    </row>
    <row r="22" spans="1:19" s="33" customFormat="1" ht="39" customHeight="1">
      <c r="A22" s="430"/>
      <c r="B22" s="431" t="s">
        <v>367</v>
      </c>
      <c r="C22" s="96" t="s">
        <v>360</v>
      </c>
      <c r="D22" s="194">
        <f>D18+D20+D24</f>
        <v>271964.29000000004</v>
      </c>
      <c r="E22" s="194">
        <f>E18+E20+E24</f>
        <v>229430.34999999998</v>
      </c>
      <c r="F22" s="86">
        <f>IFERROR(E22/D22*100-100,)</f>
        <v>-15.639531204629861</v>
      </c>
      <c r="G22" s="203">
        <f>[1]FORM.3!E21</f>
        <v>271964.29000000004</v>
      </c>
      <c r="H22" s="469" t="b">
        <f t="shared" si="0"/>
        <v>1</v>
      </c>
      <c r="I22" s="469">
        <f>'Quadro Geral'!H11+'Quadro Geral'!H18+'Quadro Geral'!H19</f>
        <v>229430.35</v>
      </c>
      <c r="J22" s="29"/>
      <c r="K22" s="29"/>
      <c r="L22" s="29"/>
      <c r="M22" s="29"/>
      <c r="N22" s="29"/>
      <c r="O22" s="29"/>
    </row>
    <row r="23" spans="1:19" s="33" customFormat="1" ht="39" customHeight="1">
      <c r="A23" s="430"/>
      <c r="B23" s="431"/>
      <c r="C23" s="97" t="s">
        <v>362</v>
      </c>
      <c r="D23" s="98">
        <f>IFERROR(D22/$D$11,0)</f>
        <v>8.8707082538540996E-2</v>
      </c>
      <c r="E23" s="98">
        <f>IFERROR(E22/$E$11,0)</f>
        <v>8.2171918211162154E-2</v>
      </c>
      <c r="F23" s="87">
        <f>(E23-D23)*100</f>
        <v>-0.65351643273788418</v>
      </c>
      <c r="G23" s="204">
        <f>[1]FORM.3!E22</f>
        <v>8.8707082538540996E-2</v>
      </c>
      <c r="H23" s="469" t="b">
        <f t="shared" si="0"/>
        <v>1</v>
      </c>
      <c r="I23" s="470">
        <f>I22/$I$11</f>
        <v>8.2171918211162168E-2</v>
      </c>
      <c r="J23" s="29"/>
      <c r="K23" s="29"/>
      <c r="L23" s="29"/>
      <c r="M23" s="29"/>
      <c r="N23" s="29"/>
      <c r="O23" s="29"/>
    </row>
    <row r="24" spans="1:19" s="33" customFormat="1" ht="39" customHeight="1">
      <c r="A24" s="430"/>
      <c r="B24" s="431" t="s">
        <v>368</v>
      </c>
      <c r="C24" s="96" t="s">
        <v>360</v>
      </c>
      <c r="D24" s="194">
        <v>76647</v>
      </c>
      <c r="E24" s="194">
        <v>75030.509999999995</v>
      </c>
      <c r="F24" s="86">
        <f>IFERROR(E24/D24*100-100,)</f>
        <v>-2.1090062233355695</v>
      </c>
      <c r="G24" s="203">
        <f>[1]FORM.3!E23</f>
        <v>76647</v>
      </c>
      <c r="H24" s="469" t="b">
        <f t="shared" si="0"/>
        <v>1</v>
      </c>
      <c r="I24" s="469">
        <f>'Quadro Geral'!H18</f>
        <v>75030.509999999995</v>
      </c>
      <c r="J24" s="29"/>
      <c r="K24" s="29"/>
      <c r="L24" s="29"/>
      <c r="M24" s="29"/>
      <c r="N24" s="29"/>
      <c r="O24" s="29"/>
    </row>
    <row r="25" spans="1:19" s="33" customFormat="1" ht="39" customHeight="1">
      <c r="A25" s="430"/>
      <c r="B25" s="431"/>
      <c r="C25" s="97" t="s">
        <v>362</v>
      </c>
      <c r="D25" s="98">
        <f>IFERROR(D24/$D$11,0)</f>
        <v>2.500009010496029E-2</v>
      </c>
      <c r="E25" s="98">
        <f>IFERROR(E24/$E$11,0)</f>
        <v>2.6872647542322908E-2</v>
      </c>
      <c r="F25" s="87">
        <f>(E25-D25)*100</f>
        <v>0.18725574373626186</v>
      </c>
      <c r="G25" s="204">
        <f>[1]FORM.3!E24</f>
        <v>2.500009010496029E-2</v>
      </c>
      <c r="H25" s="469" t="b">
        <f t="shared" si="0"/>
        <v>1</v>
      </c>
      <c r="I25" s="470">
        <f>I24/$I$11</f>
        <v>2.6872647542322908E-2</v>
      </c>
      <c r="J25" s="29"/>
      <c r="K25" s="29"/>
      <c r="L25" s="29"/>
      <c r="M25" s="29"/>
      <c r="N25" s="29"/>
      <c r="O25" s="29"/>
    </row>
    <row r="26" spans="1:19" s="33" customFormat="1" ht="39" customHeight="1">
      <c r="A26" s="430"/>
      <c r="B26" s="431" t="s">
        <v>369</v>
      </c>
      <c r="C26" s="96" t="s">
        <v>360</v>
      </c>
      <c r="D26" s="194">
        <v>22994</v>
      </c>
      <c r="E26" s="209">
        <f>I26</f>
        <v>0</v>
      </c>
      <c r="F26" s="86">
        <f>IFERROR(E26/D26*100-100,)</f>
        <v>-100</v>
      </c>
      <c r="G26" s="203">
        <f>[1]FORM.3!E25</f>
        <v>22994</v>
      </c>
      <c r="H26" s="469" t="b">
        <f t="shared" si="0"/>
        <v>1</v>
      </c>
      <c r="I26" s="469">
        <f>'Quadro Geral'!H20</f>
        <v>0</v>
      </c>
      <c r="J26" s="29"/>
      <c r="K26" s="29"/>
      <c r="L26" s="29"/>
      <c r="M26" s="29"/>
      <c r="N26" s="29"/>
      <c r="O26" s="29"/>
    </row>
    <row r="27" spans="1:19" s="33" customFormat="1" ht="39" customHeight="1">
      <c r="A27" s="430"/>
      <c r="B27" s="431"/>
      <c r="C27" s="97" t="s">
        <v>362</v>
      </c>
      <c r="D27" s="98">
        <f>IFERROR(D26/$D$11,0)</f>
        <v>7.4999944143078912E-3</v>
      </c>
      <c r="E27" s="98">
        <f>IFERROR(E26/$E$11,0)</f>
        <v>0</v>
      </c>
      <c r="F27" s="87">
        <f>(E27-D27)*100</f>
        <v>-0.74999944143078912</v>
      </c>
      <c r="G27" s="204">
        <f>[1]FORM.3!E26</f>
        <v>7.4999944143078912E-3</v>
      </c>
      <c r="H27" s="469" t="b">
        <f t="shared" si="0"/>
        <v>1</v>
      </c>
      <c r="I27" s="470">
        <f>I26/$I$11</f>
        <v>0</v>
      </c>
      <c r="J27" s="29"/>
      <c r="K27" s="29"/>
      <c r="L27" s="29"/>
      <c r="M27" s="29"/>
      <c r="N27" s="29"/>
      <c r="O27" s="29"/>
    </row>
    <row r="28" spans="1:19" ht="19.5" thickBot="1">
      <c r="A28" s="29"/>
      <c r="B28" s="30"/>
      <c r="C28" s="29"/>
      <c r="D28" s="29"/>
      <c r="E28" s="29"/>
      <c r="F28" s="29"/>
      <c r="G28" s="202"/>
      <c r="H28" s="202"/>
      <c r="I28" s="202"/>
      <c r="J28" s="29"/>
      <c r="K28" s="29"/>
      <c r="L28" s="29"/>
      <c r="M28" s="29"/>
      <c r="N28" s="29"/>
      <c r="O28" s="29"/>
    </row>
    <row r="29" spans="1:19" ht="27" customHeight="1" thickBot="1">
      <c r="A29" s="427" t="s">
        <v>370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</row>
    <row r="30" spans="1:19" ht="18.75">
      <c r="A30" s="424" t="s">
        <v>371</v>
      </c>
      <c r="B30" s="425"/>
      <c r="C30" s="218">
        <v>3204.41</v>
      </c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3"/>
    </row>
    <row r="31" spans="1:19" ht="18.75">
      <c r="A31" s="433" t="s">
        <v>372</v>
      </c>
      <c r="B31" s="433"/>
      <c r="C31" s="216">
        <v>213216.63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4"/>
    </row>
    <row r="32" spans="1:19" ht="19.5" thickBot="1">
      <c r="A32" s="434" t="s">
        <v>373</v>
      </c>
      <c r="B32" s="434"/>
      <c r="C32" s="217">
        <v>10757.29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5"/>
    </row>
  </sheetData>
  <sheetProtection selectLockedCells="1"/>
  <mergeCells count="31">
    <mergeCell ref="A31:B31"/>
    <mergeCell ref="A32:B32"/>
    <mergeCell ref="A3:O3"/>
    <mergeCell ref="A6:A11"/>
    <mergeCell ref="B6:C6"/>
    <mergeCell ref="J6:J9"/>
    <mergeCell ref="K6:L6"/>
    <mergeCell ref="B7:C7"/>
    <mergeCell ref="K7:L7"/>
    <mergeCell ref="B8:C8"/>
    <mergeCell ref="K8:L8"/>
    <mergeCell ref="B9:C9"/>
    <mergeCell ref="K9:L9"/>
    <mergeCell ref="B10:C10"/>
    <mergeCell ref="J10:K10"/>
    <mergeCell ref="A4:O4"/>
    <mergeCell ref="A30:B30"/>
    <mergeCell ref="B11:C11"/>
    <mergeCell ref="A29:O29"/>
    <mergeCell ref="A13:A27"/>
    <mergeCell ref="J16:K17"/>
    <mergeCell ref="B18:B19"/>
    <mergeCell ref="B24:B25"/>
    <mergeCell ref="B22:B23"/>
    <mergeCell ref="B26:B27"/>
    <mergeCell ref="B13:C13"/>
    <mergeCell ref="J13:L13"/>
    <mergeCell ref="B14:B15"/>
    <mergeCell ref="J14:K15"/>
    <mergeCell ref="B16:B17"/>
    <mergeCell ref="B20:B21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ignoredErrors>
    <ignoredError sqref="F15:F27 D15:E27 I16:I27" formula="1"/>
    <ignoredError sqref="N14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5</vt:i4>
      </vt:variant>
    </vt:vector>
  </HeadingPairs>
  <TitlesOfParts>
    <vt:vector size="16" baseType="lpstr">
      <vt:lpstr>Orientações Iniciais</vt:lpstr>
      <vt:lpstr>Matriz Objetivos x Projetos</vt:lpstr>
      <vt:lpstr>Indicadores e Metas1</vt:lpstr>
      <vt:lpstr>Indicadores e Metas</vt:lpstr>
      <vt:lpstr>Quadro Geral</vt:lpstr>
      <vt:lpstr>Demonstrativo</vt:lpstr>
      <vt:lpstr>Fontes</vt:lpstr>
      <vt:lpstr>Balanço Orç.</vt:lpstr>
      <vt:lpstr>Limites Estratégicos</vt:lpstr>
      <vt:lpstr>Anexo_1.4_Dados</vt:lpstr>
      <vt:lpstr>Plan1</vt:lpstr>
      <vt:lpstr>Anexo_1.4_Dados!Area_de_impressao</vt:lpstr>
      <vt:lpstr>Fontes!Area_de_impressao</vt:lpstr>
      <vt:lpstr>'Indicadores e Metas1'!Area_de_impressao</vt:lpstr>
      <vt:lpstr>'Matriz Objetivos x Projetos'!Area_de_impressao</vt:lpstr>
      <vt:lpstr>'Quadro Geral'!Area_de_impressao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Rios Costa</dc:creator>
  <cp:keywords/>
  <dc:description/>
  <cp:lastModifiedBy>caudf</cp:lastModifiedBy>
  <cp:revision/>
  <dcterms:created xsi:type="dcterms:W3CDTF">2013-07-30T15:20:59Z</dcterms:created>
  <dcterms:modified xsi:type="dcterms:W3CDTF">2022-09-20T17:05:42Z</dcterms:modified>
  <cp:category/>
  <cp:contentStatus/>
</cp:coreProperties>
</file>